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1-22 Data" sheetId="1" r:id="rId1"/>
    <sheet name="Type Codes" sheetId="2" r:id="rId2"/>
  </sheets>
  <definedNames>
    <definedName name="_xlnm.Print_Area" localSheetId="0">('2021-22 Data'!$A$1:$A$55,'2021-22 Data'!$A$1:$A$55,'2021-22 Data'!$A$1:$I$55,'2021-22 Data'!$J$1:$J$55,'2021-22 Data'!$J$1:$J$55,'2021-22 Data'!$J$1:$J$55,'2021-22 Data'!$J$1:$J$55,'2021-22 Data'!$J$1:$J$55,'2021-22 Data'!$J$1:$J$55,'2021-22 Data'!$J$1:$J$55,'2021-22 Data'!$J$1:$J$55,'2021-22 Data'!$J$1:$J$55,'2021-22 Data'!$J$1:$J$55,'2021-22 Data'!$J$1:$J$55,'2021-22 Data'!$J$1:$J$55)</definedName>
    <definedName name="SHARED_FORMULA_6_5_6_5_4">NA()</definedName>
    <definedName name="TypeCodes">'Type Codes'!$A$2:$A$13</definedName>
    <definedName name="_xlfn_CONCAT">#N/A</definedName>
    <definedName name="_xlfn_COUNTIFS">#N/A</definedName>
    <definedName name="_xlfn_DAYS">#N/A</definedName>
    <definedName name="_xlfn_ORG_OPENOFFICE_STYLE">NA()</definedName>
    <definedName name="_xlfn_SUMIFS">#N/A</definedName>
    <definedName name="_xlfn_TEXTJOIN">NA()</definedName>
    <definedName name="Excel_BuiltIn_Print_Area" localSheetId="0">'2021-22 Data'!#REF!</definedName>
    <definedName name="_xlnm_Print_Area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_0_0_0_0_0_0_0_0_0_0_0_0_0_0_0_0_0_0_0_0_0_0_0_0_0_0_0_0_0_0_0_0_0_0_0_0_0_0" localSheetId="0">('2021-22 Data'!#REF!,'2021-22 Data'!#REF!,'2021-22 Data'!$A$1:$G$55,'2021-22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Data'!#REF!,'2021-22 Data'!#REF!)</definedName>
    <definedName name="_xlfn.DAYS" hidden="1">#NAME?</definedName>
    <definedName name="_xlfn.COUNTIFS" hidden="1">#NAME?</definedName>
    <definedName name="_xlfn.SUMIFS" hidden="1">#NAME?</definedName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<sst xmlns="http://schemas.openxmlformats.org/spreadsheetml/2006/main" count="155" uniqueCount="70">
  <si>
    <t>Jobs</t>
  </si>
  <si>
    <t>Invoice #</t>
  </si>
  <si>
    <t>Amount</t>
  </si>
  <si>
    <t>Type</t>
  </si>
  <si>
    <t>Type Status</t>
  </si>
  <si>
    <t>Submitted</t>
  </si>
  <si>
    <t>Aprvd</t>
  </si>
  <si>
    <t>Days to Aprv</t>
  </si>
  <si>
    <t>PLAY</t>
  </si>
  <si>
    <t>ETG-WX</t>
  </si>
  <si>
    <t>NOTES</t>
  </si>
  <si>
    <t>ETG-A</t>
  </si>
  <si>
    <t>Your solution is close, but not the result I was looking for.  When entering the data, it flows from left-to-right: invoice number, amount, the TYPE which is obtained from a drop down menu (TYPE CODES), and the date submitted.  NOTE – JCP&amp;L has not been added yet but will be in the near term.
Very often the Type code would not be changed  when entering the Approved Date.  This creates a problem when calculating the totals.
The idea was, when the Approved Date was entered, this action would cause the letter P to be added to the Type in column E.  In turn this affects the F27 and F28 math.
I have added a BLANK at the end of types not containing a P, in hopes that this would aid in the process.</t>
  </si>
  <si>
    <t>JCP&amp;L-A</t>
  </si>
  <si>
    <t>PSE&amp;G-A</t>
  </si>
  <si>
    <t>E
T
G</t>
  </si>
  <si>
    <t>WX</t>
  </si>
  <si>
    <t>INVOICES APPROVED</t>
  </si>
  <si>
    <t>ETG INVOICES</t>
  </si>
  <si>
    <t>INVOICES NOT APPROVED</t>
  </si>
  <si>
    <t>TOTAL</t>
  </si>
  <si>
    <t>APPROVED</t>
  </si>
  <si>
    <t>COMPLETED JOBS – ELECTRIC</t>
  </si>
  <si>
    <t>DAYS
To
APPROVE</t>
  </si>
  <si>
    <t>COMPLETED JOBS – GAS</t>
  </si>
  <si>
    <t>ADMIN</t>
  </si>
  <si>
    <t>AVG DAYS
To
APPROVE</t>
  </si>
  <si>
    <t>ETG FINAL TOTAL</t>
  </si>
  <si>
    <t>P
S
E
&amp;
G</t>
  </si>
  <si>
    <t>PSE&amp;G INVOICES</t>
  </si>
  <si>
    <t>PSE&amp;G FINAL TOTAL</t>
  </si>
  <si>
    <t>MONTHLY
SUMMARY</t>
  </si>
  <si>
    <t>FINAL TOTAL</t>
  </si>
  <si>
    <t>Invoice</t>
  </si>
  <si>
    <t>Date</t>
  </si>
  <si>
    <t>Days to</t>
  </si>
  <si>
    <t>Supplier</t>
  </si>
  <si>
    <t>Code</t>
  </si>
  <si>
    <t>Status</t>
  </si>
  <si>
    <t>Paid</t>
  </si>
  <si>
    <t>Approved</t>
  </si>
  <si>
    <t>Approve</t>
  </si>
  <si>
    <t>LMN-WX</t>
  </si>
  <si>
    <t>XYZ-WX</t>
  </si>
  <si>
    <t>ABC-WX</t>
  </si>
  <si>
    <t>ABC</t>
  </si>
  <si>
    <t>DEF</t>
  </si>
  <si>
    <t>GHI</t>
  </si>
  <si>
    <t>LMN</t>
  </si>
  <si>
    <t>OPQ</t>
  </si>
  <si>
    <t>DEF-WX</t>
  </si>
  <si>
    <t>XYZ</t>
  </si>
  <si>
    <t>Total</t>
  </si>
  <si>
    <t>OPQ-WX</t>
  </si>
  <si>
    <t>GHI-WX</t>
  </si>
  <si>
    <t>Formula</t>
  </si>
  <si>
    <t>Type Codes</t>
  </si>
  <si>
    <t>Status Code</t>
  </si>
  <si>
    <t>Invoice Submitted</t>
  </si>
  <si>
    <t>ETG-WXP</t>
  </si>
  <si>
    <t>Invoice Submitted and APPROVED</t>
  </si>
  <si>
    <t>Admin Submitted</t>
  </si>
  <si>
    <t>ETG-AP</t>
  </si>
  <si>
    <t>Admin Submitted and APPROVED</t>
  </si>
  <si>
    <t>JCP&amp;L-WX</t>
  </si>
  <si>
    <t>JCP&amp;L-WXP</t>
  </si>
  <si>
    <t>JCP&amp;L-AP</t>
  </si>
  <si>
    <t>PSE&amp;G-WX</t>
  </si>
  <si>
    <t>PSE&amp;G-WXP</t>
  </si>
  <si>
    <t>PSE&amp;G-AP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</si>
</sst>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mmmm&quot; - &quot;yyyy"/>
    <numFmt numFmtId="166" formatCode="&quot; $&quot;#,##0.00\ ;&quot; $(&quot;#,##0.00\);&quot; $-&quot;#\ ;@\ "/>
    <numFmt numFmtId="167" formatCode="yyyy\-mm\-dd"/>
    <numFmt numFmtId="168" formatCode="#"/>
    <numFmt numFmtId="169" formatCode="m/d/yyyy;@"/>
    <numFmt numFmtId="170" formatCode="0"/>
    <numFmt numFmtId="171" formatCode="#,##0\ ;\(#,##0\)"/>
    <numFmt numFmtId="172" formatCode="0.00"/>
    <numFmt numFmtId="173" formatCode="General"/>
    <numFmt numFmtId="174" formatCode="mm/dd/yy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9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u val="single"/>
      <sz val="8"/>
      <color indexed="8"/>
      <name val="Calibri"/>
      <family val="2"/>
    </font>
    <font>
      <sz val="9"/>
      <name val="Calibri"/>
      <family val="2"/>
    </font>
    <font>
      <b/>
      <u val="single"/>
      <sz val="9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 Black"/>
      <family val="2"/>
    </font>
    <font>
      <b/>
      <sz val="9"/>
      <color indexed="8"/>
      <name val="Arial Black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2"/>
    </font>
    <font>
      <b/>
      <sz val="8"/>
      <color indexed="8"/>
      <name val="Arial Narrow"/>
      <family val="2"/>
    </font>
    <font>
      <b/>
      <sz val="8"/>
      <color indexed="8"/>
      <name val="Calibri"/>
      <family val="2"/>
    </font>
    <font>
      <b/>
      <sz val="7"/>
      <color indexed="8"/>
      <name val="Arial Narrow"/>
      <family val="2"/>
    </font>
    <font>
      <b/>
      <sz val="11"/>
      <name val="Comic Sans MS"/>
      <family val="4"/>
    </font>
    <font>
      <b/>
      <u val="single"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7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Border="0" applyProtection="0">
      <alignment/>
    </xf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98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12" fillId="0" borderId="2" xfId="0" applyNumberFormat="1" applyFont="1" applyBorder="1" applyAlignment="1" applyProtection="1">
      <alignment horizontal="center" vertical="center"/>
      <protection/>
    </xf>
    <xf numFmtId="164" fontId="13" fillId="0" borderId="0" xfId="0" applyFont="1" applyAlignment="1">
      <alignment vertical="center"/>
    </xf>
    <xf numFmtId="164" fontId="14" fillId="0" borderId="0" xfId="0" applyFont="1" applyAlignment="1" applyProtection="1">
      <alignment vertical="center"/>
      <protection/>
    </xf>
    <xf numFmtId="164" fontId="15" fillId="0" borderId="0" xfId="0" applyFont="1" applyAlignment="1" applyProtection="1">
      <alignment horizontal="center" vertical="center"/>
      <protection/>
    </xf>
    <xf numFmtId="164" fontId="16" fillId="0" borderId="0" xfId="0" applyFont="1" applyAlignment="1" applyProtection="1">
      <alignment horizontal="center" vertical="center"/>
      <protection/>
    </xf>
    <xf numFmtId="164" fontId="3" fillId="0" borderId="0" xfId="0" applyFont="1" applyAlignment="1">
      <alignment vertical="center"/>
    </xf>
    <xf numFmtId="164" fontId="3" fillId="9" borderId="0" xfId="0" applyFont="1" applyFill="1" applyAlignment="1">
      <alignment horizontal="center" vertical="center"/>
    </xf>
    <xf numFmtId="164" fontId="0" fillId="0" borderId="0" xfId="0" applyFill="1" applyAlignment="1" applyProtection="1">
      <alignment/>
      <protection locked="0"/>
    </xf>
    <xf numFmtId="164" fontId="14" fillId="0" borderId="0" xfId="0" applyFont="1" applyFill="1" applyAlignment="1" applyProtection="1">
      <alignment vertical="center"/>
      <protection locked="0"/>
    </xf>
    <xf numFmtId="164" fontId="17" fillId="10" borderId="0" xfId="0" applyFont="1" applyFill="1" applyAlignment="1" applyProtection="1">
      <alignment vertical="center"/>
      <protection locked="0"/>
    </xf>
    <xf numFmtId="166" fontId="14" fillId="0" borderId="0" xfId="17" applyFont="1" applyFill="1" applyBorder="1" applyAlignment="1" applyProtection="1">
      <alignment vertical="center"/>
      <protection locked="0"/>
    </xf>
    <xf numFmtId="167" fontId="14" fillId="0" borderId="0" xfId="0" applyNumberFormat="1" applyFont="1" applyFill="1" applyAlignment="1" applyProtection="1">
      <alignment vertical="center"/>
      <protection locked="0"/>
    </xf>
    <xf numFmtId="168" fontId="14" fillId="0" borderId="0" xfId="0" applyNumberFormat="1" applyFont="1" applyAlignment="1" applyProtection="1">
      <alignment horizontal="center" vertical="center"/>
      <protection locked="0"/>
    </xf>
    <xf numFmtId="164" fontId="14" fillId="0" borderId="0" xfId="0" applyFont="1" applyAlignment="1" applyProtection="1">
      <alignment vertical="center"/>
      <protection locked="0"/>
    </xf>
    <xf numFmtId="164" fontId="18" fillId="11" borderId="0" xfId="0" applyFont="1" applyFill="1" applyAlignment="1" applyProtection="1">
      <alignment horizontal="center" vertical="center"/>
      <protection locked="0"/>
    </xf>
    <xf numFmtId="164" fontId="19" fillId="0" borderId="0" xfId="0" applyFont="1" applyBorder="1" applyAlignment="1" applyProtection="1">
      <alignment horizontal="left" vertical="top" wrapText="1"/>
      <protection locked="0"/>
    </xf>
    <xf numFmtId="164" fontId="0" fillId="0" borderId="0" xfId="0" applyAlignment="1" applyProtection="1">
      <alignment/>
      <protection locked="0"/>
    </xf>
    <xf numFmtId="169" fontId="14" fillId="0" borderId="0" xfId="0" applyNumberFormat="1" applyFont="1" applyFill="1" applyAlignment="1" applyProtection="1">
      <alignment vertical="center"/>
      <protection locked="0"/>
    </xf>
    <xf numFmtId="166" fontId="14" fillId="0" borderId="0" xfId="17" applyFont="1" applyBorder="1" applyAlignment="1" applyProtection="1">
      <alignment vertical="center"/>
      <protection locked="0"/>
    </xf>
    <xf numFmtId="167" fontId="14" fillId="0" borderId="0" xfId="0" applyNumberFormat="1" applyFont="1" applyAlignment="1" applyProtection="1">
      <alignment vertical="center"/>
      <protection locked="0"/>
    </xf>
    <xf numFmtId="168" fontId="20" fillId="0" borderId="0" xfId="0" applyNumberFormat="1" applyFont="1" applyFill="1" applyAlignment="1" applyProtection="1">
      <alignment horizontal="center" vertical="center"/>
      <protection locked="0"/>
    </xf>
    <xf numFmtId="164" fontId="14" fillId="0" borderId="0" xfId="0" applyFont="1" applyBorder="1" applyAlignment="1" applyProtection="1">
      <alignment vertical="center"/>
      <protection locked="0"/>
    </xf>
    <xf numFmtId="168" fontId="20" fillId="0" borderId="0" xfId="0" applyNumberFormat="1" applyFont="1" applyAlignment="1" applyProtection="1">
      <alignment horizontal="center" vertical="center"/>
      <protection locked="0"/>
    </xf>
    <xf numFmtId="164" fontId="21" fillId="10" borderId="3" xfId="0" applyFont="1" applyFill="1" applyBorder="1" applyAlignment="1" applyProtection="1">
      <alignment horizontal="center" vertical="center" wrapText="1"/>
      <protection/>
    </xf>
    <xf numFmtId="164" fontId="22" fillId="10" borderId="4" xfId="0" applyFont="1" applyFill="1" applyBorder="1" applyAlignment="1" applyProtection="1">
      <alignment horizontal="center" vertical="center" textRotation="90"/>
      <protection/>
    </xf>
    <xf numFmtId="164" fontId="23" fillId="12" borderId="5" xfId="0" applyFont="1" applyFill="1" applyBorder="1" applyAlignment="1" applyProtection="1">
      <alignment horizontal="right" vertical="center"/>
      <protection/>
    </xf>
    <xf numFmtId="166" fontId="24" fillId="12" borderId="6" xfId="17" applyFont="1" applyFill="1" applyBorder="1" applyAlignment="1" applyProtection="1">
      <alignment vertical="center"/>
      <protection/>
    </xf>
    <xf numFmtId="170" fontId="25" fillId="13" borderId="7" xfId="17" applyNumberFormat="1" applyFont="1" applyFill="1" applyBorder="1" applyAlignment="1" applyProtection="1">
      <alignment horizontal="center" vertical="center"/>
      <protection/>
    </xf>
    <xf numFmtId="164" fontId="23" fillId="14" borderId="2" xfId="0" applyFont="1" applyFill="1" applyBorder="1" applyAlignment="1" applyProtection="1">
      <alignment horizontal="right" vertical="center"/>
      <protection/>
    </xf>
    <xf numFmtId="166" fontId="24" fillId="14" borderId="8" xfId="17" applyFont="1" applyFill="1" applyBorder="1" applyAlignment="1" applyProtection="1">
      <alignment vertical="center"/>
      <protection/>
    </xf>
    <xf numFmtId="170" fontId="26" fillId="0" borderId="9" xfId="17" applyNumberFormat="1" applyFont="1" applyFill="1" applyBorder="1" applyAlignment="1" applyProtection="1">
      <alignment horizontal="center" vertical="center"/>
      <protection/>
    </xf>
    <xf numFmtId="170" fontId="27" fillId="0" borderId="10" xfId="17" applyNumberFormat="1" applyFont="1" applyFill="1" applyBorder="1" applyAlignment="1" applyProtection="1">
      <alignment horizontal="center" vertical="center"/>
      <protection/>
    </xf>
    <xf numFmtId="164" fontId="23" fillId="15" borderId="0" xfId="0" applyFont="1" applyFill="1" applyBorder="1" applyAlignment="1" applyProtection="1">
      <alignment vertical="center"/>
      <protection/>
    </xf>
    <xf numFmtId="164" fontId="23" fillId="15" borderId="0" xfId="0" applyFont="1" applyFill="1" applyBorder="1" applyAlignment="1" applyProtection="1">
      <alignment horizontal="right" vertical="center"/>
      <protection/>
    </xf>
    <xf numFmtId="166" fontId="24" fillId="15" borderId="11" xfId="17" applyFont="1" applyFill="1" applyBorder="1" applyAlignment="1" applyProtection="1">
      <alignment vertical="center"/>
      <protection/>
    </xf>
    <xf numFmtId="170" fontId="28" fillId="0" borderId="9" xfId="17" applyNumberFormat="1" applyFont="1" applyFill="1" applyBorder="1" applyAlignment="1" applyProtection="1">
      <alignment horizontal="center" vertical="center"/>
      <protection/>
    </xf>
    <xf numFmtId="164" fontId="14" fillId="15" borderId="0" xfId="0" applyFont="1" applyFill="1" applyAlignment="1">
      <alignment vertical="center"/>
    </xf>
    <xf numFmtId="164" fontId="23" fillId="10" borderId="12" xfId="0" applyFont="1" applyFill="1" applyBorder="1" applyAlignment="1" applyProtection="1">
      <alignment horizontal="right" vertical="center"/>
      <protection/>
    </xf>
    <xf numFmtId="164" fontId="3" fillId="10" borderId="13" xfId="0" applyNumberFormat="1" applyFont="1" applyFill="1" applyBorder="1" applyAlignment="1" applyProtection="1">
      <alignment horizontal="center" vertical="center"/>
      <protection locked="0"/>
    </xf>
    <xf numFmtId="164" fontId="28" fillId="0" borderId="14" xfId="0" applyFont="1" applyFill="1" applyBorder="1" applyAlignment="1" applyProtection="1">
      <alignment horizontal="center" vertical="center" wrapText="1"/>
      <protection/>
    </xf>
    <xf numFmtId="170" fontId="27" fillId="0" borderId="15" xfId="17" applyNumberFormat="1" applyFont="1" applyFill="1" applyBorder="1" applyAlignment="1" applyProtection="1">
      <alignment horizontal="center" vertical="center"/>
      <protection/>
    </xf>
    <xf numFmtId="164" fontId="22" fillId="10" borderId="16" xfId="0" applyFont="1" applyFill="1" applyBorder="1" applyAlignment="1" applyProtection="1">
      <alignment horizontal="center" vertical="center" textRotation="90"/>
      <protection/>
    </xf>
    <xf numFmtId="170" fontId="28" fillId="0" borderId="17" xfId="17" applyNumberFormat="1" applyFont="1" applyFill="1" applyBorder="1" applyAlignment="1" applyProtection="1">
      <alignment horizontal="center" vertical="center" wrapText="1"/>
      <protection/>
    </xf>
    <xf numFmtId="170" fontId="27" fillId="0" borderId="18" xfId="17" applyNumberFormat="1" applyFont="1" applyFill="1" applyBorder="1" applyAlignment="1" applyProtection="1">
      <alignment horizontal="center" vertical="center"/>
      <protection/>
    </xf>
    <xf numFmtId="164" fontId="14" fillId="0" borderId="0" xfId="0" applyFont="1" applyAlignment="1">
      <alignment vertical="center"/>
    </xf>
    <xf numFmtId="164" fontId="23" fillId="15" borderId="19" xfId="0" applyFont="1" applyFill="1" applyBorder="1" applyAlignment="1" applyProtection="1">
      <alignment vertical="center"/>
      <protection/>
    </xf>
    <xf numFmtId="164" fontId="23" fillId="15" borderId="19" xfId="0" applyFont="1" applyFill="1" applyBorder="1" applyAlignment="1" applyProtection="1">
      <alignment horizontal="right" vertical="center"/>
      <protection/>
    </xf>
    <xf numFmtId="166" fontId="24" fillId="15" borderId="20" xfId="17" applyFont="1" applyFill="1" applyBorder="1" applyAlignment="1" applyProtection="1">
      <alignment vertical="center"/>
      <protection/>
    </xf>
    <xf numFmtId="170" fontId="23" fillId="0" borderId="0" xfId="17" applyNumberFormat="1" applyFont="1" applyFill="1" applyBorder="1" applyAlignment="1" applyProtection="1">
      <alignment vertical="center"/>
      <protection/>
    </xf>
    <xf numFmtId="170" fontId="23" fillId="0" borderId="0" xfId="17" applyNumberFormat="1" applyFont="1" applyFill="1" applyBorder="1" applyAlignment="1" applyProtection="1">
      <alignment horizontal="center" vertical="center"/>
      <protection/>
    </xf>
    <xf numFmtId="164" fontId="23" fillId="10" borderId="21" xfId="0" applyFont="1" applyFill="1" applyBorder="1" applyAlignment="1" applyProtection="1">
      <alignment vertical="center" textRotation="90"/>
      <protection/>
    </xf>
    <xf numFmtId="164" fontId="23" fillId="16" borderId="19" xfId="0" applyFont="1" applyFill="1" applyBorder="1" applyAlignment="1" applyProtection="1">
      <alignment vertical="center"/>
      <protection/>
    </xf>
    <xf numFmtId="166" fontId="24" fillId="16" borderId="20" xfId="17" applyFont="1" applyFill="1" applyBorder="1" applyAlignment="1" applyProtection="1">
      <alignment vertical="center"/>
      <protection/>
    </xf>
    <xf numFmtId="164" fontId="14" fillId="0" borderId="0" xfId="0" applyFont="1" applyBorder="1" applyAlignment="1" applyProtection="1">
      <alignment/>
      <protection/>
    </xf>
    <xf numFmtId="164" fontId="14" fillId="0" borderId="0" xfId="0" applyFont="1" applyBorder="1" applyAlignment="1" applyProtection="1">
      <alignment vertical="center"/>
      <protection/>
    </xf>
    <xf numFmtId="164" fontId="0" fillId="0" borderId="0" xfId="0" applyAlignment="1" applyProtection="1">
      <alignment/>
      <protection/>
    </xf>
    <xf numFmtId="164" fontId="23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vertical="center"/>
      <protection/>
    </xf>
    <xf numFmtId="170" fontId="23" fillId="0" borderId="0" xfId="0" applyNumberFormat="1" applyFont="1" applyBorder="1" applyAlignment="1" applyProtection="1">
      <alignment vertical="center"/>
      <protection/>
    </xf>
    <xf numFmtId="170" fontId="27" fillId="0" borderId="0" xfId="0" applyNumberFormat="1" applyFont="1" applyBorder="1" applyAlignment="1" applyProtection="1">
      <alignment vertical="center"/>
      <protection/>
    </xf>
    <xf numFmtId="164" fontId="21" fillId="17" borderId="3" xfId="0" applyFont="1" applyFill="1" applyBorder="1" applyAlignment="1" applyProtection="1">
      <alignment horizontal="center" vertical="center" wrapText="1"/>
      <protection/>
    </xf>
    <xf numFmtId="164" fontId="22" fillId="17" borderId="4" xfId="0" applyFont="1" applyFill="1" applyBorder="1" applyAlignment="1" applyProtection="1">
      <alignment horizontal="center" vertical="center" textRotation="90"/>
      <protection/>
    </xf>
    <xf numFmtId="164" fontId="22" fillId="17" borderId="16" xfId="0" applyFont="1" applyFill="1" applyBorder="1" applyAlignment="1" applyProtection="1">
      <alignment horizontal="center" vertical="center" textRotation="90"/>
      <protection/>
    </xf>
    <xf numFmtId="170" fontId="27" fillId="0" borderId="0" xfId="17" applyNumberFormat="1" applyFont="1" applyFill="1" applyBorder="1" applyAlignment="1" applyProtection="1">
      <alignment vertical="center"/>
      <protection/>
    </xf>
    <xf numFmtId="164" fontId="14" fillId="17" borderId="21" xfId="0" applyFont="1" applyFill="1" applyBorder="1" applyAlignment="1" applyProtection="1">
      <alignment vertical="center"/>
      <protection/>
    </xf>
    <xf numFmtId="164" fontId="23" fillId="0" borderId="0" xfId="0" applyFont="1" applyBorder="1" applyAlignment="1" applyProtection="1">
      <alignment/>
      <protection/>
    </xf>
    <xf numFmtId="164" fontId="0" fillId="0" borderId="0" xfId="0" applyFont="1" applyBorder="1" applyAlignment="1" applyProtection="1">
      <alignment/>
      <protection/>
    </xf>
    <xf numFmtId="164" fontId="23" fillId="0" borderId="0" xfId="17" applyNumberFormat="1" applyFont="1" applyFill="1" applyBorder="1" applyAlignment="1" applyProtection="1">
      <alignment vertical="center"/>
      <protection/>
    </xf>
    <xf numFmtId="166" fontId="23" fillId="0" borderId="0" xfId="17" applyFont="1" applyFill="1" applyBorder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21" fillId="0" borderId="12" xfId="0" applyFont="1" applyBorder="1" applyAlignment="1" applyProtection="1">
      <alignment horizontal="center" vertical="center" textRotation="90" wrapText="1"/>
      <protection/>
    </xf>
    <xf numFmtId="164" fontId="22" fillId="0" borderId="12" xfId="0" applyFont="1" applyBorder="1" applyAlignment="1" applyProtection="1">
      <alignment horizontal="center" vertical="center" textRotation="90"/>
      <protection/>
    </xf>
    <xf numFmtId="164" fontId="23" fillId="0" borderId="0" xfId="0" applyFont="1" applyBorder="1" applyAlignment="1" applyProtection="1">
      <alignment horizontal="right" vertical="center"/>
      <protection/>
    </xf>
    <xf numFmtId="166" fontId="24" fillId="0" borderId="11" xfId="17" applyFont="1" applyBorder="1" applyAlignment="1" applyProtection="1">
      <alignment vertical="center"/>
      <protection/>
    </xf>
    <xf numFmtId="171" fontId="23" fillId="0" borderId="0" xfId="17" applyNumberFormat="1" applyFont="1" applyFill="1" applyBorder="1" applyAlignment="1" applyProtection="1">
      <alignment vertical="center"/>
      <protection/>
    </xf>
    <xf numFmtId="171" fontId="3" fillId="10" borderId="13" xfId="17" applyNumberFormat="1" applyFont="1" applyFill="1" applyBorder="1" applyAlignment="1" applyProtection="1">
      <alignment horizontal="center" vertical="center"/>
      <protection/>
    </xf>
    <xf numFmtId="164" fontId="22" fillId="0" borderId="22" xfId="0" applyFont="1" applyBorder="1" applyAlignment="1" applyProtection="1">
      <alignment horizontal="center" vertical="center" textRotation="90"/>
      <protection/>
    </xf>
    <xf numFmtId="166" fontId="24" fillId="12" borderId="11" xfId="17" applyFont="1" applyFill="1" applyBorder="1" applyAlignment="1" applyProtection="1">
      <alignment vertical="center"/>
      <protection/>
    </xf>
    <xf numFmtId="164" fontId="23" fillId="0" borderId="19" xfId="0" applyFont="1" applyBorder="1" applyAlignment="1" applyProtection="1">
      <alignment horizontal="right" vertical="center"/>
      <protection/>
    </xf>
    <xf numFmtId="166" fontId="24" fillId="0" borderId="20" xfId="17" applyFont="1" applyBorder="1" applyAlignment="1" applyProtection="1">
      <alignment vertical="center"/>
      <protection/>
    </xf>
    <xf numFmtId="164" fontId="23" fillId="0" borderId="19" xfId="0" applyFont="1" applyBorder="1" applyAlignment="1" applyProtection="1">
      <alignment/>
      <protection/>
    </xf>
    <xf numFmtId="164" fontId="23" fillId="16" borderId="19" xfId="0" applyFont="1" applyFill="1" applyBorder="1" applyAlignment="1" applyProtection="1">
      <alignment horizontal="right" vertical="center"/>
      <protection/>
    </xf>
    <xf numFmtId="164" fontId="29" fillId="0" borderId="0" xfId="0" applyFont="1" applyAlignment="1">
      <alignment/>
    </xf>
    <xf numFmtId="172" fontId="29" fillId="0" borderId="0" xfId="0" applyNumberFormat="1" applyFont="1" applyAlignment="1">
      <alignment/>
    </xf>
    <xf numFmtId="164" fontId="0" fillId="0" borderId="0" xfId="0" applyNumberFormat="1" applyAlignment="1">
      <alignment/>
    </xf>
    <xf numFmtId="172" fontId="0" fillId="0" borderId="0" xfId="0" applyNumberFormat="1" applyAlignment="1">
      <alignment/>
    </xf>
    <xf numFmtId="174" fontId="0" fillId="0" borderId="0" xfId="0" applyNumberFormat="1" applyAlignment="1">
      <alignment/>
    </xf>
    <xf numFmtId="164" fontId="29" fillId="0" borderId="0" xfId="0" applyFont="1" applyAlignment="1">
      <alignment horizontal="right"/>
    </xf>
    <xf numFmtId="164" fontId="30" fillId="0" borderId="0" xfId="0" applyFont="1" applyAlignment="1">
      <alignment horizontal="center"/>
    </xf>
    <xf numFmtId="164" fontId="0" fillId="0" borderId="0" xfId="0" applyFill="1" applyAlignment="1">
      <alignment/>
    </xf>
    <xf numFmtId="164" fontId="30" fillId="0" borderId="0" xfId="0" applyFont="1" applyFill="1" applyAlignment="1">
      <alignment horizontal="center"/>
    </xf>
    <xf numFmtId="164" fontId="0" fillId="10" borderId="0" xfId="0" applyFont="1" applyFill="1" applyBorder="1" applyAlignment="1">
      <alignment/>
    </xf>
    <xf numFmtId="164" fontId="0" fillId="10" borderId="0" xfId="0" applyFont="1" applyFill="1" applyAlignment="1">
      <alignment/>
    </xf>
    <xf numFmtId="164" fontId="0" fillId="18" borderId="0" xfId="0" applyFont="1" applyFill="1" applyAlignment="1">
      <alignment/>
    </xf>
    <xf numFmtId="164" fontId="0" fillId="17" borderId="0" xfId="0" applyFont="1" applyFill="1" applyBorder="1" applyAlignment="1">
      <alignment/>
    </xf>
    <xf numFmtId="164" fontId="0" fillId="17" borderId="0" xfId="0" applyFont="1" applyFill="1" applyAlignment="1">
      <alignment/>
    </xf>
  </cellXfs>
  <cellStyles count="5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Good 10" xfId="28"/>
    <cellStyle name="Good 11" xfId="29"/>
    <cellStyle name="Good 12" xfId="30"/>
    <cellStyle name="Good 13" xfId="31"/>
    <cellStyle name="Good 14" xfId="32"/>
    <cellStyle name="Good 15" xfId="33"/>
    <cellStyle name="Good 16" xfId="34"/>
    <cellStyle name="Good 17" xfId="35"/>
    <cellStyle name="Good 18" xfId="36"/>
    <cellStyle name="Good 19" xfId="37"/>
    <cellStyle name="Good 2" xfId="38"/>
    <cellStyle name="Good 20" xfId="39"/>
    <cellStyle name="Good 21" xfId="40"/>
    <cellStyle name="Good 22" xfId="41"/>
    <cellStyle name="Good 23" xfId="42"/>
    <cellStyle name="Good 24" xfId="43"/>
    <cellStyle name="Good 25" xfId="44"/>
    <cellStyle name="Good 26" xfId="45"/>
    <cellStyle name="Good 27" xfId="46"/>
    <cellStyle name="Good 28" xfId="47"/>
    <cellStyle name="Good 29" xfId="48"/>
    <cellStyle name="Good 3" xfId="49"/>
    <cellStyle name="Good 30" xfId="50"/>
    <cellStyle name="Good 31" xfId="51"/>
    <cellStyle name="Good 32" xfId="52"/>
    <cellStyle name="Good 33" xfId="53"/>
    <cellStyle name="Good 34" xfId="54"/>
    <cellStyle name="Good 35" xfId="55"/>
    <cellStyle name="Good 36" xfId="56"/>
    <cellStyle name="Good 37" xfId="57"/>
    <cellStyle name="Good 38" xfId="58"/>
    <cellStyle name="Good 4" xfId="59"/>
    <cellStyle name="Good 5" xfId="60"/>
    <cellStyle name="Good 6" xfId="61"/>
    <cellStyle name="Good 7" xfId="62"/>
    <cellStyle name="Good 8" xfId="63"/>
    <cellStyle name="Good 9" xfId="64"/>
    <cellStyle name="Heading 1 1" xfId="65"/>
    <cellStyle name="Heading 2 1" xfId="66"/>
    <cellStyle name="Neutral 1" xfId="67"/>
    <cellStyle name="Note 1" xfId="68"/>
    <cellStyle name="Status 1" xfId="69"/>
    <cellStyle name="Text 1" xfId="70"/>
    <cellStyle name="Warning 1" xfId="71"/>
  </cellStyles>
  <dxfs count="1">
    <dxf>
      <font>
        <b/>
        <i val="0"/>
        <sz val="10"/>
        <color rgb="FFFFFFFF"/>
      </font>
      <fill>
        <patternFill patternType="solid">
          <fgColor rgb="FF800000"/>
          <bgColor rgb="FFCC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AFEEEE"/>
      <rgbColor rgb="00660066"/>
      <rgbColor rgb="00FF6666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FFF"/>
      <rgbColor rgb="00F5DEB3"/>
      <rgbColor rgb="00CCFFCC"/>
      <rgbColor rgb="00FFFF99"/>
      <rgbColor rgb="0098FB98"/>
      <rgbColor rgb="00FF99CC"/>
      <rgbColor rgb="00CC99FF"/>
      <rgbColor rgb="00FFCCCC"/>
      <rgbColor rgb="003366FF"/>
      <rgbColor rgb="0033CCCC"/>
      <rgbColor rgb="0099FF99"/>
      <rgbColor rgb="00FFCC00"/>
      <rgbColor rgb="00FF9900"/>
      <rgbColor rgb="00FF6347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G84"/>
  <sheetViews>
    <sheetView tabSelected="1" zoomScale="110" zoomScaleNormal="110" workbookViewId="0" topLeftCell="A1">
      <selection activeCell="A7" sqref="A7"/>
    </sheetView>
  </sheetViews>
  <sheetFormatPr defaultColWidth="9.140625" defaultRowHeight="15"/>
  <cols>
    <col min="1" max="1" width="10.00390625" style="1" customWidth="1"/>
    <col min="2" max="2" width="10.7109375" style="1" customWidth="1"/>
    <col min="3" max="3" width="9.421875" style="1" customWidth="1"/>
    <col min="4" max="4" width="14.421875" style="1" customWidth="1"/>
    <col min="5" max="5" width="9.421875" style="1" customWidth="1"/>
    <col min="6" max="7" width="12.421875" style="1" customWidth="1"/>
    <col min="8" max="8" width="9.421875" style="1" customWidth="1"/>
    <col min="9" max="9" width="8.421875" style="1" customWidth="1"/>
    <col min="10" max="85" width="13.421875" style="1" customWidth="1"/>
    <col min="86" max="16384" width="7.421875" style="0" customWidth="1"/>
  </cols>
  <sheetData>
    <row r="1" spans="1:9" s="3" customFormat="1" ht="14.25" customHeight="1">
      <c r="A1" s="2">
        <v>44440</v>
      </c>
      <c r="B1" s="2"/>
      <c r="C1" s="2"/>
      <c r="D1" s="2"/>
      <c r="E1" s="2"/>
      <c r="F1" s="2"/>
      <c r="G1" s="2"/>
      <c r="H1" s="2"/>
      <c r="I1" s="2"/>
    </row>
    <row r="2" spans="1:14" s="7" customFormat="1" ht="12.75" customHeight="1">
      <c r="A2" s="4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6" t="s">
        <v>7</v>
      </c>
      <c r="J2"/>
      <c r="M2" s="8" t="s">
        <v>8</v>
      </c>
      <c r="N2" s="8"/>
    </row>
    <row r="3" spans="1:14" s="15" customFormat="1" ht="12.75" customHeight="1">
      <c r="A3" s="9"/>
      <c r="B3" s="10">
        <v>1</v>
      </c>
      <c r="C3" s="11">
        <v>1180096</v>
      </c>
      <c r="D3" s="12">
        <v>1000</v>
      </c>
      <c r="E3" s="10" t="s">
        <v>9</v>
      </c>
      <c r="F3" s="10" t="str">
        <f>IF(I3&gt;0,INDEX('Type Codes'!E$2:E$13,MATCH(E3,'Type Codes'!A$2:A$13,0)),E3)</f>
        <v>ETG-WXP</v>
      </c>
      <c r="G3" s="13">
        <v>44440</v>
      </c>
      <c r="H3" s="13">
        <v>44442</v>
      </c>
      <c r="I3" s="14">
        <f aca="true" t="shared" si="0" ref="I3:I26">IF(H3="",0,IF(H3=G3,1,IF(H3&gt;G3,_xlfn.DAYS(H3,G3))))</f>
        <v>2</v>
      </c>
      <c r="K3" s="16" t="s">
        <v>10</v>
      </c>
      <c r="M3" s="7">
        <f>REPLACE(E3,7,1,"P")</f>
        <v>0</v>
      </c>
      <c r="N3" s="7"/>
    </row>
    <row r="4" spans="1:12" s="18" customFormat="1" ht="12.75" customHeight="1">
      <c r="A4" s="9"/>
      <c r="B4" s="10">
        <v>2</v>
      </c>
      <c r="C4" s="10">
        <v>1180097</v>
      </c>
      <c r="D4" s="12">
        <v>2000</v>
      </c>
      <c r="E4" s="10" t="s">
        <v>11</v>
      </c>
      <c r="F4" s="10" t="str">
        <f>IF(I4&gt;0,INDEX('Type Codes'!E$2:E$13,MATCH(E4,'Type Codes'!A$2:A$13,0)),E4)</f>
        <v>ETG-AP</v>
      </c>
      <c r="G4" s="13">
        <v>44444</v>
      </c>
      <c r="H4" s="13">
        <v>44444</v>
      </c>
      <c r="I4" s="14">
        <f t="shared" si="0"/>
        <v>1</v>
      </c>
      <c r="J4" s="17" t="s">
        <v>12</v>
      </c>
      <c r="K4" s="17"/>
      <c r="L4" s="17"/>
    </row>
    <row r="5" spans="1:12" s="18" customFormat="1" ht="12.75" customHeight="1">
      <c r="A5" s="9"/>
      <c r="B5" s="10">
        <v>3</v>
      </c>
      <c r="C5" s="10">
        <v>1180098</v>
      </c>
      <c r="D5" s="12">
        <v>3000</v>
      </c>
      <c r="E5" s="10" t="s">
        <v>13</v>
      </c>
      <c r="F5" s="10" t="str">
        <f>IF(I5&gt;0,INDEX('Type Codes'!E$2:E$13,MATCH(E5,'Type Codes'!A$2:A$13,0)),E5)</f>
        <v>JCP&amp;L-AP</v>
      </c>
      <c r="G5" s="13">
        <v>44445</v>
      </c>
      <c r="H5" s="13">
        <v>44449</v>
      </c>
      <c r="I5" s="14">
        <f t="shared" si="0"/>
        <v>4</v>
      </c>
      <c r="J5" s="17"/>
      <c r="K5" s="17"/>
      <c r="L5" s="17"/>
    </row>
    <row r="6" spans="1:12" s="18" customFormat="1" ht="12.75" customHeight="1">
      <c r="A6" s="9"/>
      <c r="B6" s="10">
        <v>4</v>
      </c>
      <c r="C6" s="10">
        <v>1180099</v>
      </c>
      <c r="D6" s="12">
        <v>4000</v>
      </c>
      <c r="E6" s="10" t="s">
        <v>14</v>
      </c>
      <c r="F6" s="10">
        <f>IF(I6&gt;0,INDEX('Type Codes'!E$2:E$13,MATCH(E6,'Type Codes'!A$2:A$13,0)),E6)</f>
        <v>0</v>
      </c>
      <c r="G6" s="13">
        <v>44446</v>
      </c>
      <c r="H6" s="13"/>
      <c r="I6" s="14">
        <f t="shared" si="0"/>
        <v>0</v>
      </c>
      <c r="J6" s="17"/>
      <c r="K6" s="17"/>
      <c r="L6" s="17"/>
    </row>
    <row r="7" spans="1:12" s="18" customFormat="1" ht="12.75" customHeight="1">
      <c r="A7" s="9"/>
      <c r="B7" s="10"/>
      <c r="C7" s="10"/>
      <c r="D7" s="12">
        <v>0</v>
      </c>
      <c r="E7" s="10"/>
      <c r="F7" s="10"/>
      <c r="G7" s="13"/>
      <c r="H7" s="13"/>
      <c r="I7" s="14">
        <f t="shared" si="0"/>
        <v>0</v>
      </c>
      <c r="J7" s="17"/>
      <c r="K7" s="17"/>
      <c r="L7" s="17"/>
    </row>
    <row r="8" spans="1:12" s="18" customFormat="1" ht="12.75" customHeight="1">
      <c r="A8" s="9"/>
      <c r="B8" s="10"/>
      <c r="C8" s="10"/>
      <c r="D8" s="12">
        <v>0</v>
      </c>
      <c r="E8" s="10"/>
      <c r="F8" s="10"/>
      <c r="G8" s="13"/>
      <c r="H8" s="13"/>
      <c r="I8" s="14">
        <f t="shared" si="0"/>
        <v>0</v>
      </c>
      <c r="J8" s="17"/>
      <c r="K8" s="17"/>
      <c r="L8" s="17"/>
    </row>
    <row r="9" spans="1:12" s="18" customFormat="1" ht="12.75" customHeight="1">
      <c r="A9" s="9"/>
      <c r="B9" s="10"/>
      <c r="C9" s="10"/>
      <c r="D9" s="12">
        <v>0</v>
      </c>
      <c r="E9" s="10"/>
      <c r="F9" s="10"/>
      <c r="G9" s="13"/>
      <c r="H9" s="13"/>
      <c r="I9" s="14">
        <f t="shared" si="0"/>
        <v>0</v>
      </c>
      <c r="J9" s="17"/>
      <c r="K9" s="17"/>
      <c r="L9" s="17"/>
    </row>
    <row r="10" spans="1:12" s="18" customFormat="1" ht="12.75" customHeight="1">
      <c r="A10" s="9"/>
      <c r="B10" s="10"/>
      <c r="C10" s="10"/>
      <c r="D10" s="12">
        <v>0</v>
      </c>
      <c r="E10" s="10"/>
      <c r="F10" s="10"/>
      <c r="G10" s="13"/>
      <c r="H10" s="13"/>
      <c r="I10" s="14">
        <f t="shared" si="0"/>
        <v>0</v>
      </c>
      <c r="J10" s="17"/>
      <c r="K10" s="17"/>
      <c r="L10" s="17"/>
    </row>
    <row r="11" spans="1:12" s="18" customFormat="1" ht="12.75" customHeight="1">
      <c r="A11" s="9"/>
      <c r="B11" s="10"/>
      <c r="C11" s="10"/>
      <c r="D11" s="12">
        <v>0</v>
      </c>
      <c r="E11" s="10"/>
      <c r="F11" s="10"/>
      <c r="G11" s="13"/>
      <c r="H11" s="13"/>
      <c r="I11" s="14">
        <f t="shared" si="0"/>
        <v>0</v>
      </c>
      <c r="J11" s="17"/>
      <c r="K11" s="17"/>
      <c r="L11" s="17"/>
    </row>
    <row r="12" spans="1:12" s="18" customFormat="1" ht="12.75" customHeight="1">
      <c r="A12" s="9"/>
      <c r="B12" s="10"/>
      <c r="C12" s="10"/>
      <c r="D12" s="12">
        <v>0</v>
      </c>
      <c r="E12" s="10"/>
      <c r="F12" s="10"/>
      <c r="G12" s="13"/>
      <c r="H12" s="13"/>
      <c r="I12" s="14">
        <f t="shared" si="0"/>
        <v>0</v>
      </c>
      <c r="J12" s="17"/>
      <c r="K12" s="17"/>
      <c r="L12" s="17"/>
    </row>
    <row r="13" spans="1:12" s="18" customFormat="1" ht="12.75" customHeight="1">
      <c r="A13" s="9"/>
      <c r="B13" s="10"/>
      <c r="C13" s="10"/>
      <c r="D13" s="12">
        <v>0</v>
      </c>
      <c r="E13" s="10"/>
      <c r="F13" s="10"/>
      <c r="G13" s="13"/>
      <c r="H13" s="13"/>
      <c r="I13" s="14">
        <f t="shared" si="0"/>
        <v>0</v>
      </c>
      <c r="J13" s="17"/>
      <c r="K13" s="17"/>
      <c r="L13" s="17"/>
    </row>
    <row r="14" spans="1:12" s="18" customFormat="1" ht="12.75" customHeight="1">
      <c r="A14" s="9"/>
      <c r="B14" s="10"/>
      <c r="C14" s="10"/>
      <c r="D14" s="12">
        <v>0</v>
      </c>
      <c r="E14" s="10"/>
      <c r="F14" s="10"/>
      <c r="G14" s="13"/>
      <c r="H14" s="13"/>
      <c r="I14" s="14">
        <f t="shared" si="0"/>
        <v>0</v>
      </c>
      <c r="J14" s="17"/>
      <c r="K14" s="17"/>
      <c r="L14" s="17"/>
    </row>
    <row r="15" spans="1:12" s="18" customFormat="1" ht="12.75" customHeight="1">
      <c r="A15" s="9"/>
      <c r="B15" s="10"/>
      <c r="C15" s="10"/>
      <c r="D15" s="12">
        <v>0</v>
      </c>
      <c r="E15" s="10"/>
      <c r="F15" s="10"/>
      <c r="G15" s="13"/>
      <c r="H15" s="13"/>
      <c r="I15" s="14">
        <f t="shared" si="0"/>
        <v>0</v>
      </c>
      <c r="J15" s="17"/>
      <c r="K15" s="17"/>
      <c r="L15" s="17"/>
    </row>
    <row r="16" spans="1:12" s="18" customFormat="1" ht="12.75" customHeight="1">
      <c r="A16" s="9"/>
      <c r="B16" s="10"/>
      <c r="C16" s="10"/>
      <c r="D16" s="12">
        <v>0</v>
      </c>
      <c r="E16" s="10"/>
      <c r="F16" s="10"/>
      <c r="G16" s="13"/>
      <c r="H16" s="13"/>
      <c r="I16" s="14">
        <f t="shared" si="0"/>
        <v>0</v>
      </c>
      <c r="J16" s="17"/>
      <c r="K16" s="17"/>
      <c r="L16" s="17"/>
    </row>
    <row r="17" spans="1:12" s="18" customFormat="1" ht="12.75" customHeight="1">
      <c r="A17" s="9"/>
      <c r="B17" s="10"/>
      <c r="C17" s="10"/>
      <c r="D17" s="12">
        <v>0</v>
      </c>
      <c r="E17" s="10"/>
      <c r="F17" s="10"/>
      <c r="G17" s="13"/>
      <c r="H17" s="13"/>
      <c r="I17" s="14">
        <f t="shared" si="0"/>
        <v>0</v>
      </c>
      <c r="J17" s="17"/>
      <c r="K17" s="17"/>
      <c r="L17" s="17"/>
    </row>
    <row r="18" spans="1:12" s="18" customFormat="1" ht="12.75" customHeight="1">
      <c r="A18" s="10"/>
      <c r="B18" s="10"/>
      <c r="C18" s="10"/>
      <c r="D18" s="12">
        <v>0</v>
      </c>
      <c r="E18" s="10"/>
      <c r="F18" s="10"/>
      <c r="G18" s="19"/>
      <c r="H18" s="19"/>
      <c r="I18" s="14">
        <f t="shared" si="0"/>
        <v>0</v>
      </c>
      <c r="J18" s="17"/>
      <c r="K18" s="17"/>
      <c r="L18" s="17"/>
    </row>
    <row r="19" spans="1:12" s="18" customFormat="1" ht="12.75" customHeight="1">
      <c r="A19" s="10"/>
      <c r="B19" s="10"/>
      <c r="C19" s="10"/>
      <c r="D19" s="12">
        <v>0</v>
      </c>
      <c r="E19" s="10"/>
      <c r="F19" s="10"/>
      <c r="G19" s="13"/>
      <c r="H19" s="19"/>
      <c r="I19" s="14">
        <f t="shared" si="0"/>
        <v>0</v>
      </c>
      <c r="J19" s="17"/>
      <c r="K19" s="17"/>
      <c r="L19" s="17"/>
    </row>
    <row r="20" spans="1:12" s="18" customFormat="1" ht="12.75" customHeight="1">
      <c r="A20" s="10"/>
      <c r="B20" s="10"/>
      <c r="C20" s="10"/>
      <c r="D20" s="12">
        <v>0</v>
      </c>
      <c r="E20" s="10"/>
      <c r="F20" s="10"/>
      <c r="G20" s="19"/>
      <c r="H20" s="19"/>
      <c r="I20" s="14">
        <f t="shared" si="0"/>
        <v>0</v>
      </c>
      <c r="J20" s="17"/>
      <c r="K20" s="17"/>
      <c r="L20" s="17"/>
    </row>
    <row r="21" spans="1:12" s="18" customFormat="1" ht="12.75" customHeight="1">
      <c r="A21" s="15"/>
      <c r="B21" s="15"/>
      <c r="C21" s="15"/>
      <c r="D21" s="20">
        <v>0</v>
      </c>
      <c r="E21" s="15"/>
      <c r="F21" s="15"/>
      <c r="G21" s="21"/>
      <c r="H21" s="21"/>
      <c r="I21" s="14">
        <f t="shared" si="0"/>
        <v>0</v>
      </c>
      <c r="J21" s="17"/>
      <c r="K21" s="17"/>
      <c r="L21" s="17"/>
    </row>
    <row r="22" spans="1:12" s="18" customFormat="1" ht="12.75" customHeight="1">
      <c r="A22" s="15"/>
      <c r="B22" s="15"/>
      <c r="C22" s="15"/>
      <c r="D22" s="20">
        <v>0</v>
      </c>
      <c r="E22" s="15"/>
      <c r="F22" s="15"/>
      <c r="G22" s="21"/>
      <c r="H22" s="21"/>
      <c r="I22" s="14">
        <f t="shared" si="0"/>
        <v>0</v>
      </c>
      <c r="J22" s="17"/>
      <c r="K22" s="17"/>
      <c r="L22" s="17"/>
    </row>
    <row r="23" spans="1:12" s="18" customFormat="1" ht="12.75" customHeight="1">
      <c r="A23" s="15"/>
      <c r="B23" s="15"/>
      <c r="C23" s="15"/>
      <c r="D23" s="20">
        <v>0</v>
      </c>
      <c r="E23" s="15"/>
      <c r="F23" s="15"/>
      <c r="G23" s="21"/>
      <c r="H23" s="21"/>
      <c r="I23" s="14">
        <f t="shared" si="0"/>
        <v>0</v>
      </c>
      <c r="J23" s="17"/>
      <c r="K23" s="17"/>
      <c r="L23" s="17"/>
    </row>
    <row r="24" spans="1:12" s="18" customFormat="1" ht="12.75" customHeight="1">
      <c r="A24" s="15"/>
      <c r="B24" s="15"/>
      <c r="C24" s="15"/>
      <c r="D24" s="20">
        <v>0</v>
      </c>
      <c r="E24" s="15"/>
      <c r="F24" s="15"/>
      <c r="G24" s="21"/>
      <c r="H24" s="21"/>
      <c r="I24" s="14">
        <f t="shared" si="0"/>
        <v>0</v>
      </c>
      <c r="J24" s="17"/>
      <c r="K24" s="17"/>
      <c r="L24" s="17"/>
    </row>
    <row r="25" spans="1:12" s="9" customFormat="1" ht="12.75" customHeight="1">
      <c r="A25" s="10"/>
      <c r="B25" s="10"/>
      <c r="C25" s="10"/>
      <c r="D25" s="12">
        <v>0</v>
      </c>
      <c r="E25" s="10"/>
      <c r="F25" s="10"/>
      <c r="G25" s="13"/>
      <c r="H25" s="13"/>
      <c r="I25" s="22">
        <f t="shared" si="0"/>
        <v>0</v>
      </c>
      <c r="J25" s="17"/>
      <c r="K25" s="17"/>
      <c r="L25" s="17"/>
    </row>
    <row r="26" spans="1:12" s="18" customFormat="1" ht="12.75" customHeight="1">
      <c r="A26" s="15"/>
      <c r="B26" s="15"/>
      <c r="C26" s="23"/>
      <c r="D26" s="20">
        <v>0</v>
      </c>
      <c r="E26" s="15"/>
      <c r="F26" s="15"/>
      <c r="G26" s="21"/>
      <c r="H26" s="21"/>
      <c r="I26" s="24">
        <f t="shared" si="0"/>
        <v>0</v>
      </c>
      <c r="J26" s="17"/>
      <c r="K26" s="17"/>
      <c r="L26" s="17"/>
    </row>
    <row r="27" spans="1:85" ht="12.75" customHeight="1">
      <c r="A27" s="25" t="s">
        <v>15</v>
      </c>
      <c r="B27" s="26" t="s">
        <v>16</v>
      </c>
      <c r="C27" s="27" t="s">
        <v>17</v>
      </c>
      <c r="D27" s="27"/>
      <c r="E27" s="27" t="s">
        <v>16</v>
      </c>
      <c r="F27" s="27"/>
      <c r="G27" s="28">
        <f>SUMIF(E3:E26,"ETG-WXP",D3:D26)</f>
        <v>0</v>
      </c>
      <c r="H27" s="29" t="s">
        <v>18</v>
      </c>
      <c r="I27" s="29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</row>
    <row r="28" spans="1:85" ht="12.75" customHeight="1">
      <c r="A28" s="25"/>
      <c r="B28" s="26"/>
      <c r="C28" s="30" t="s">
        <v>19</v>
      </c>
      <c r="D28" s="30"/>
      <c r="E28" s="30" t="s">
        <v>16</v>
      </c>
      <c r="F28" s="30"/>
      <c r="G28" s="31">
        <f>SUMIF(E3:E26,"ETG-WX ",D3:D26)</f>
        <v>0</v>
      </c>
      <c r="H28" s="32" t="s">
        <v>20</v>
      </c>
      <c r="I28" s="33">
        <f>_xlfn.COUNTIFS(E3:E26,"etg*")</f>
        <v>2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</row>
    <row r="29" spans="1:9" s="38" customFormat="1" ht="12.75" customHeight="1">
      <c r="A29" s="25"/>
      <c r="B29" s="26"/>
      <c r="C29" s="34"/>
      <c r="D29" s="34"/>
      <c r="E29" s="35" t="s">
        <v>20</v>
      </c>
      <c r="F29" s="35"/>
      <c r="G29" s="36">
        <f>SUM(G27:G28)</f>
        <v>0</v>
      </c>
      <c r="H29" s="37" t="s">
        <v>21</v>
      </c>
      <c r="I29" s="33">
        <f>_xlfn.COUNTIFS(E3:E26,"etg*",H3:H26,"&gt;0")</f>
        <v>2</v>
      </c>
    </row>
    <row r="30" spans="1:9" s="38" customFormat="1" ht="12.75" customHeight="1">
      <c r="A30" s="25"/>
      <c r="B30" s="26"/>
      <c r="C30" s="39" t="s">
        <v>22</v>
      </c>
      <c r="D30" s="39"/>
      <c r="E30" s="39"/>
      <c r="F30" s="39"/>
      <c r="G30" s="40">
        <v>0</v>
      </c>
      <c r="H30" s="41" t="s">
        <v>23</v>
      </c>
      <c r="I30" s="42">
        <f>_xlfn.SUMIFS(I3:I26,E3:E26,"etg*")</f>
        <v>3</v>
      </c>
    </row>
    <row r="31" spans="1:85" ht="12.75" customHeight="1">
      <c r="A31" s="25"/>
      <c r="B31" s="26"/>
      <c r="C31" s="39" t="s">
        <v>24</v>
      </c>
      <c r="D31" s="39"/>
      <c r="E31" s="39"/>
      <c r="F31" s="39"/>
      <c r="G31" s="40">
        <f>SUMIF(E$3:E$26,"etg*",B$3:B$26)</f>
        <v>3</v>
      </c>
      <c r="H31" s="41"/>
      <c r="I31" s="42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</row>
    <row r="32" spans="1:9" s="46" customFormat="1" ht="12.75" customHeight="1">
      <c r="A32" s="25"/>
      <c r="B32" s="43" t="s">
        <v>25</v>
      </c>
      <c r="C32" s="27" t="s">
        <v>17</v>
      </c>
      <c r="D32" s="27"/>
      <c r="E32" s="27" t="s">
        <v>25</v>
      </c>
      <c r="F32" s="27"/>
      <c r="G32" s="28">
        <f>SUMIF(E3:E26,"ETG-AP",D3:D26)</f>
        <v>0</v>
      </c>
      <c r="H32" s="44" t="s">
        <v>26</v>
      </c>
      <c r="I32" s="45">
        <f>IF(I29=0,0,I30/I29)</f>
        <v>1.5</v>
      </c>
    </row>
    <row r="33" spans="1:85" ht="12.75" customHeight="1">
      <c r="A33" s="25"/>
      <c r="B33" s="43"/>
      <c r="C33" s="30" t="s">
        <v>19</v>
      </c>
      <c r="D33" s="30"/>
      <c r="E33" s="30" t="s">
        <v>25</v>
      </c>
      <c r="F33" s="30"/>
      <c r="G33" s="31">
        <f>SUMIF(E3:E26,"ETG-A",D3:D26)</f>
        <v>2000</v>
      </c>
      <c r="H33" s="44"/>
      <c r="I33" s="45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</row>
    <row r="34" spans="1:9" s="38" customFormat="1" ht="12.75" customHeight="1">
      <c r="A34" s="25"/>
      <c r="B34" s="43"/>
      <c r="C34" s="47"/>
      <c r="D34" s="47"/>
      <c r="E34" s="48" t="s">
        <v>20</v>
      </c>
      <c r="F34" s="48"/>
      <c r="G34" s="49">
        <f>SUM(G32:G33)</f>
        <v>2000</v>
      </c>
      <c r="H34" s="50"/>
      <c r="I34" s="51"/>
    </row>
    <row r="35" spans="1:9" s="46" customFormat="1" ht="12.75" customHeight="1">
      <c r="A35" s="25"/>
      <c r="B35" s="52"/>
      <c r="C35" s="53"/>
      <c r="D35" s="53" t="s">
        <v>27</v>
      </c>
      <c r="E35" s="53"/>
      <c r="F35" s="53"/>
      <c r="G35" s="54">
        <f>G34+G29</f>
        <v>2000</v>
      </c>
      <c r="H35" s="55"/>
      <c r="I35" s="55"/>
    </row>
    <row r="36" spans="1:85" ht="12.75" customHeight="1">
      <c r="A36" s="56"/>
      <c r="B36" s="57"/>
      <c r="C36" s="58"/>
      <c r="D36" s="58"/>
      <c r="E36" s="58"/>
      <c r="F36" s="58"/>
      <c r="G36" s="59"/>
      <c r="H36" s="60"/>
      <c r="I36" s="61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</row>
    <row r="37" spans="1:85" ht="12.75" customHeight="1">
      <c r="A37" s="62" t="s">
        <v>28</v>
      </c>
      <c r="B37" s="63" t="s">
        <v>16</v>
      </c>
      <c r="C37" s="27" t="s">
        <v>17</v>
      </c>
      <c r="D37" s="27"/>
      <c r="E37" s="27" t="s">
        <v>16</v>
      </c>
      <c r="F37" s="27"/>
      <c r="G37" s="28">
        <f>SUMIF(E3:E26,"PSE&amp;G-WXP",D3:D26)</f>
        <v>0</v>
      </c>
      <c r="H37" s="29" t="s">
        <v>29</v>
      </c>
      <c r="I37" s="29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</row>
    <row r="38" spans="1:85" ht="12.75" customHeight="1">
      <c r="A38" s="62"/>
      <c r="B38" s="63"/>
      <c r="C38" s="30" t="s">
        <v>19</v>
      </c>
      <c r="D38" s="30"/>
      <c r="E38" s="30" t="s">
        <v>16</v>
      </c>
      <c r="F38" s="30"/>
      <c r="G38" s="31">
        <f>SUMIF(E3:E26,"PSE&amp;G-WX ",D3:D26)</f>
        <v>0</v>
      </c>
      <c r="H38" s="32" t="s">
        <v>20</v>
      </c>
      <c r="I38" s="33">
        <f>_xlfn.COUNTIFS(E3:E26,"pse*")</f>
        <v>1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</row>
    <row r="39" spans="1:9" s="38" customFormat="1" ht="12.75" customHeight="1">
      <c r="A39" s="62"/>
      <c r="B39" s="63"/>
      <c r="C39" s="34"/>
      <c r="D39" s="34"/>
      <c r="E39" s="35" t="s">
        <v>20</v>
      </c>
      <c r="F39" s="35"/>
      <c r="G39" s="36">
        <f>SUM(G37:G38)</f>
        <v>0</v>
      </c>
      <c r="H39" s="37" t="s">
        <v>21</v>
      </c>
      <c r="I39" s="33">
        <f>_xlfn.COUNTIFS(E3:E26,"pse*",H3:H26,"&gt;0")</f>
        <v>0</v>
      </c>
    </row>
    <row r="40" spans="1:85" ht="12.75" customHeight="1">
      <c r="A40" s="62"/>
      <c r="B40" s="63"/>
      <c r="C40" s="39" t="s">
        <v>22</v>
      </c>
      <c r="D40" s="39"/>
      <c r="E40" s="39"/>
      <c r="F40" s="39"/>
      <c r="G40" s="40">
        <f>SUMIF(E$3:E$26,"pse*",B$3:B$26)+G31</f>
        <v>7</v>
      </c>
      <c r="H40" s="41" t="s">
        <v>23</v>
      </c>
      <c r="I40" s="42">
        <f>_xlfn.SUMIFS(I3:I26,E3:E26,"pse*")</f>
        <v>0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</row>
    <row r="41" spans="1:9" s="46" customFormat="1" ht="12.75" customHeight="1">
      <c r="A41" s="62"/>
      <c r="B41" s="63"/>
      <c r="C41" s="39" t="s">
        <v>24</v>
      </c>
      <c r="D41" s="39"/>
      <c r="E41" s="39"/>
      <c r="F41" s="39"/>
      <c r="G41" s="40">
        <f>SUMIF(E$3:E$26,"pse*",B$3:B$26)</f>
        <v>4</v>
      </c>
      <c r="H41" s="41"/>
      <c r="I41" s="42"/>
    </row>
    <row r="42" spans="1:85" ht="12.75" customHeight="1">
      <c r="A42" s="62"/>
      <c r="B42" s="64" t="s">
        <v>25</v>
      </c>
      <c r="C42" s="27" t="s">
        <v>17</v>
      </c>
      <c r="D42" s="27"/>
      <c r="E42" s="27" t="s">
        <v>25</v>
      </c>
      <c r="F42" s="27"/>
      <c r="G42" s="28">
        <f>SUMIF(E3:E26,"PSE&amp;G-AP",D3:D26)</f>
        <v>0</v>
      </c>
      <c r="H42" s="44" t="s">
        <v>26</v>
      </c>
      <c r="I42" s="45">
        <f>IF(I39=0,0,I40/I39)</f>
        <v>0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</row>
    <row r="43" spans="1:85" ht="15" customHeight="1">
      <c r="A43" s="62"/>
      <c r="B43" s="64"/>
      <c r="C43" s="30" t="s">
        <v>19</v>
      </c>
      <c r="D43" s="30"/>
      <c r="E43" s="30" t="s">
        <v>25</v>
      </c>
      <c r="F43" s="30"/>
      <c r="G43" s="31">
        <f>SUMIF(E3:E26,"PSE&amp;G-A",D3:D26)</f>
        <v>4000</v>
      </c>
      <c r="H43" s="44"/>
      <c r="I43" s="45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</row>
    <row r="44" spans="1:9" s="38" customFormat="1" ht="12.75" customHeight="1">
      <c r="A44" s="62"/>
      <c r="B44" s="64"/>
      <c r="C44" s="47"/>
      <c r="D44" s="47"/>
      <c r="E44" s="48" t="s">
        <v>20</v>
      </c>
      <c r="F44" s="48"/>
      <c r="G44" s="49">
        <f>SUM(G42:G43)</f>
        <v>4000</v>
      </c>
      <c r="H44" s="50"/>
      <c r="I44" s="65"/>
    </row>
    <row r="45" spans="1:9" s="46" customFormat="1" ht="12.75" customHeight="1">
      <c r="A45" s="62"/>
      <c r="B45" s="66"/>
      <c r="C45" s="53"/>
      <c r="D45" s="53" t="s">
        <v>30</v>
      </c>
      <c r="E45" s="53"/>
      <c r="F45" s="53"/>
      <c r="G45" s="54">
        <f>G44+G39</f>
        <v>4000</v>
      </c>
      <c r="H45" s="50"/>
      <c r="I45" s="65"/>
    </row>
    <row r="46" spans="1:9" ht="12.75" customHeight="1">
      <c r="A46" s="55"/>
      <c r="B46" s="55"/>
      <c r="C46" s="67"/>
      <c r="D46" s="67"/>
      <c r="E46" s="55"/>
      <c r="F46" s="55"/>
      <c r="G46" s="68"/>
      <c r="H46" s="69"/>
      <c r="I46" s="70"/>
    </row>
    <row r="47" spans="1:9" ht="12.75" customHeight="1">
      <c r="A47" s="71"/>
      <c r="B47" s="72" t="s">
        <v>31</v>
      </c>
      <c r="C47" s="73" t="s">
        <v>16</v>
      </c>
      <c r="D47" s="27" t="s">
        <v>17</v>
      </c>
      <c r="E47" s="27"/>
      <c r="F47" s="27"/>
      <c r="G47" s="28">
        <f aca="true" t="shared" si="1" ref="G47:G49">G37+G27</f>
        <v>0</v>
      </c>
      <c r="H47" s="70"/>
      <c r="I47" s="70"/>
    </row>
    <row r="48" spans="1:9" ht="12.75" customHeight="1">
      <c r="A48" s="71"/>
      <c r="B48" s="72"/>
      <c r="C48" s="73"/>
      <c r="D48" s="30" t="s">
        <v>19</v>
      </c>
      <c r="E48" s="30"/>
      <c r="F48" s="30"/>
      <c r="G48" s="31">
        <f t="shared" si="1"/>
        <v>0</v>
      </c>
      <c r="H48" s="70"/>
      <c r="I48" s="70"/>
    </row>
    <row r="49" spans="1:9" ht="12.75" customHeight="1">
      <c r="A49" s="71"/>
      <c r="B49" s="72"/>
      <c r="C49" s="73"/>
      <c r="D49" s="74" t="s">
        <v>20</v>
      </c>
      <c r="E49" s="74"/>
      <c r="F49" s="74"/>
      <c r="G49" s="75">
        <f t="shared" si="1"/>
        <v>0</v>
      </c>
      <c r="H49" s="76"/>
      <c r="I49" s="76"/>
    </row>
    <row r="50" spans="1:9" ht="12.75" customHeight="1">
      <c r="A50" s="71"/>
      <c r="B50" s="72"/>
      <c r="C50" s="73"/>
      <c r="D50" s="39" t="s">
        <v>22</v>
      </c>
      <c r="E50" s="39"/>
      <c r="F50" s="39"/>
      <c r="G50" s="77">
        <f>G$40+G$30</f>
        <v>7</v>
      </c>
      <c r="H50" s="76"/>
      <c r="I50" s="76"/>
    </row>
    <row r="51" spans="1:9" ht="12.75" customHeight="1">
      <c r="A51" s="71"/>
      <c r="B51" s="72"/>
      <c r="C51" s="73"/>
      <c r="D51" s="39" t="s">
        <v>24</v>
      </c>
      <c r="E51" s="39"/>
      <c r="F51" s="39"/>
      <c r="G51" s="77">
        <f>G$41+G$31</f>
        <v>7</v>
      </c>
      <c r="H51" s="70"/>
      <c r="I51" s="70"/>
    </row>
    <row r="52" spans="1:9" ht="12.75" customHeight="1">
      <c r="A52" s="71"/>
      <c r="B52" s="72"/>
      <c r="C52" s="78" t="s">
        <v>25</v>
      </c>
      <c r="D52" s="27" t="s">
        <v>17</v>
      </c>
      <c r="E52" s="27"/>
      <c r="F52" s="27"/>
      <c r="G52" s="79">
        <f aca="true" t="shared" si="2" ref="G52:G55">G42+G32</f>
        <v>0</v>
      </c>
      <c r="H52" s="70"/>
      <c r="I52" s="70"/>
    </row>
    <row r="53" spans="1:9" ht="12.75" customHeight="1">
      <c r="A53" s="71"/>
      <c r="B53" s="72"/>
      <c r="C53" s="78"/>
      <c r="D53" s="30" t="s">
        <v>19</v>
      </c>
      <c r="E53" s="30"/>
      <c r="F53" s="30"/>
      <c r="G53" s="31">
        <f t="shared" si="2"/>
        <v>6000</v>
      </c>
      <c r="H53" s="70"/>
      <c r="I53" s="70"/>
    </row>
    <row r="54" spans="1:9" ht="12.75" customHeight="1">
      <c r="A54" s="71"/>
      <c r="B54" s="72"/>
      <c r="C54" s="78"/>
      <c r="D54" s="80" t="s">
        <v>20</v>
      </c>
      <c r="E54" s="80"/>
      <c r="F54" s="80"/>
      <c r="G54" s="81">
        <f t="shared" si="2"/>
        <v>6000</v>
      </c>
      <c r="H54" s="70"/>
      <c r="I54" s="70"/>
    </row>
    <row r="55" spans="1:7" ht="12.75" customHeight="1">
      <c r="A55" s="71"/>
      <c r="B55" s="72"/>
      <c r="C55" s="82"/>
      <c r="D55" s="83" t="s">
        <v>32</v>
      </c>
      <c r="E55" s="83"/>
      <c r="F55" s="83"/>
      <c r="G55" s="54">
        <f t="shared" si="2"/>
        <v>6000</v>
      </c>
    </row>
    <row r="59" spans="1:85" ht="12.75" customHeight="1">
      <c r="A59" s="84"/>
      <c r="B59" s="84" t="s">
        <v>3</v>
      </c>
      <c r="C59" s="84" t="s">
        <v>3</v>
      </c>
      <c r="D59" s="85" t="s">
        <v>33</v>
      </c>
      <c r="E59" s="84" t="s">
        <v>2</v>
      </c>
      <c r="F59" s="84"/>
      <c r="G59" s="84" t="s">
        <v>34</v>
      </c>
      <c r="H59" s="84" t="s">
        <v>34</v>
      </c>
      <c r="I59" s="84" t="s">
        <v>35</v>
      </c>
      <c r="J59" s="84"/>
      <c r="K59" s="84"/>
      <c r="L59" s="84" t="s">
        <v>3</v>
      </c>
      <c r="M59" s="85" t="s">
        <v>2</v>
      </c>
      <c r="N59" s="85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</row>
    <row r="60" spans="1:14" ht="15.75">
      <c r="A60" s="84" t="s">
        <v>36</v>
      </c>
      <c r="B60" s="84" t="s">
        <v>37</v>
      </c>
      <c r="C60" s="84" t="s">
        <v>38</v>
      </c>
      <c r="D60" s="85" t="s">
        <v>2</v>
      </c>
      <c r="E60" s="84" t="s">
        <v>39</v>
      </c>
      <c r="F60" s="84"/>
      <c r="G60" s="84" t="s">
        <v>5</v>
      </c>
      <c r="H60" s="84" t="s">
        <v>40</v>
      </c>
      <c r="I60" s="84" t="s">
        <v>41</v>
      </c>
      <c r="J60" s="84"/>
      <c r="K60" s="84"/>
      <c r="L60" s="84"/>
      <c r="M60" s="85" t="s">
        <v>39</v>
      </c>
      <c r="N60" s="85"/>
    </row>
    <row r="61" spans="1:14" ht="15.75">
      <c r="A61" s="86">
        <f aca="true" t="shared" si="3" ref="A61:A78">_xlfn.CONCAT("Supplier-",ROW())</f>
        <v>0</v>
      </c>
      <c r="B61" s="86" t="s">
        <v>42</v>
      </c>
      <c r="C61" s="86">
        <f aca="true" t="shared" si="4" ref="C61:C78">IF(I61&gt;0,_xlfn.CONCAT(B61,"P")," ")</f>
        <v>0</v>
      </c>
      <c r="D61" s="87">
        <v>50</v>
      </c>
      <c r="E61" s="87">
        <f aca="true" t="shared" si="5" ref="E61:E78">IF(C61&lt;&gt;" ",D61,0)</f>
        <v>50</v>
      </c>
      <c r="F61" s="87"/>
      <c r="G61" s="88">
        <f aca="true" t="shared" si="6" ref="G61:G68">+G62-1</f>
        <v>44413</v>
      </c>
      <c r="H61" s="88">
        <v>44419</v>
      </c>
      <c r="I61" s="86">
        <f aca="true" t="shared" si="7" ref="I61:I78">IF(H61="",0,IF(H61=G61,1,IF(H61&gt;G61,_xlfn.DAYS(H61,G61))))</f>
        <v>6</v>
      </c>
      <c r="J61"/>
      <c r="K61"/>
      <c r="L61" s="86"/>
      <c r="M61" s="87"/>
      <c r="N61" s="87"/>
    </row>
    <row r="62" spans="1:14" ht="15.75">
      <c r="A62" s="86">
        <f t="shared" si="3"/>
        <v>0</v>
      </c>
      <c r="B62" s="86" t="s">
        <v>43</v>
      </c>
      <c r="C62" s="86">
        <f t="shared" si="4"/>
        <v>0</v>
      </c>
      <c r="D62" s="87">
        <f aca="true" t="shared" si="8" ref="D62:D65">+D61*2</f>
        <v>100</v>
      </c>
      <c r="E62" s="87">
        <f t="shared" si="5"/>
        <v>100</v>
      </c>
      <c r="F62" s="87"/>
      <c r="G62" s="88">
        <f t="shared" si="6"/>
        <v>44414</v>
      </c>
      <c r="H62" s="88">
        <v>44415</v>
      </c>
      <c r="I62" s="86">
        <f t="shared" si="7"/>
        <v>1</v>
      </c>
      <c r="J62"/>
      <c r="K62"/>
      <c r="L62" s="86"/>
      <c r="M62" s="87"/>
      <c r="N62" s="87"/>
    </row>
    <row r="63" spans="1:14" ht="15.75">
      <c r="A63" s="86">
        <f t="shared" si="3"/>
        <v>0</v>
      </c>
      <c r="B63" s="86" t="s">
        <v>44</v>
      </c>
      <c r="C63" s="86">
        <f t="shared" si="4"/>
        <v>0</v>
      </c>
      <c r="D63" s="87">
        <f t="shared" si="8"/>
        <v>200</v>
      </c>
      <c r="E63" s="87">
        <f t="shared" si="5"/>
        <v>200</v>
      </c>
      <c r="F63" s="87"/>
      <c r="G63" s="88">
        <f t="shared" si="6"/>
        <v>44415</v>
      </c>
      <c r="H63" s="88">
        <v>44420</v>
      </c>
      <c r="I63" s="86">
        <f t="shared" si="7"/>
        <v>5</v>
      </c>
      <c r="J63"/>
      <c r="K63"/>
      <c r="L63" s="86" t="s">
        <v>45</v>
      </c>
      <c r="M63" s="87">
        <f aca="true" t="shared" si="9" ref="M63:M68">SUMIF(C$61:C$78,"*"&amp;L63&amp;"*",E$61:E$78)</f>
        <v>400</v>
      </c>
      <c r="N63" s="87"/>
    </row>
    <row r="64" spans="1:14" ht="15.75">
      <c r="A64" s="86">
        <f t="shared" si="3"/>
        <v>0</v>
      </c>
      <c r="B64" s="86" t="s">
        <v>42</v>
      </c>
      <c r="C64" s="86">
        <f t="shared" si="4"/>
        <v>0</v>
      </c>
      <c r="D64" s="87">
        <f t="shared" si="8"/>
        <v>400</v>
      </c>
      <c r="E64" s="87">
        <f t="shared" si="5"/>
        <v>400</v>
      </c>
      <c r="F64" s="87"/>
      <c r="G64" s="88">
        <f t="shared" si="6"/>
        <v>44416</v>
      </c>
      <c r="H64" s="88">
        <v>44440</v>
      </c>
      <c r="I64" s="86">
        <f t="shared" si="7"/>
        <v>24</v>
      </c>
      <c r="J64"/>
      <c r="K64"/>
      <c r="L64" s="86" t="s">
        <v>46</v>
      </c>
      <c r="M64" s="87">
        <f t="shared" si="9"/>
        <v>7200</v>
      </c>
      <c r="N64" s="87"/>
    </row>
    <row r="65" spans="1:85" ht="15" customHeight="1">
      <c r="A65" s="86">
        <f t="shared" si="3"/>
        <v>0</v>
      </c>
      <c r="B65" s="86" t="s">
        <v>43</v>
      </c>
      <c r="C65" s="86">
        <f t="shared" si="4"/>
        <v>0</v>
      </c>
      <c r="D65" s="87">
        <f t="shared" si="8"/>
        <v>800</v>
      </c>
      <c r="E65" s="87">
        <f t="shared" si="5"/>
        <v>800</v>
      </c>
      <c r="F65" s="87"/>
      <c r="G65" s="88">
        <f t="shared" si="6"/>
        <v>44417</v>
      </c>
      <c r="H65" s="88">
        <v>44417</v>
      </c>
      <c r="I65" s="86">
        <f t="shared" si="7"/>
        <v>1</v>
      </c>
      <c r="J65"/>
      <c r="K65"/>
      <c r="L65" s="86" t="s">
        <v>47</v>
      </c>
      <c r="M65" s="87">
        <f t="shared" si="9"/>
        <v>512</v>
      </c>
      <c r="N65" s="87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</row>
    <row r="66" spans="1:85" ht="12.75" customHeight="1">
      <c r="A66" s="86">
        <f t="shared" si="3"/>
        <v>0</v>
      </c>
      <c r="B66" s="86" t="s">
        <v>44</v>
      </c>
      <c r="C66" s="86">
        <f t="shared" si="4"/>
        <v>0</v>
      </c>
      <c r="D66" s="87">
        <f>+D65/4</f>
        <v>200</v>
      </c>
      <c r="E66" s="87">
        <f t="shared" si="5"/>
        <v>200</v>
      </c>
      <c r="F66" s="87"/>
      <c r="G66" s="88">
        <f t="shared" si="6"/>
        <v>44418</v>
      </c>
      <c r="H66" s="88">
        <v>44429</v>
      </c>
      <c r="I66" s="86">
        <f t="shared" si="7"/>
        <v>11</v>
      </c>
      <c r="J66"/>
      <c r="K66"/>
      <c r="L66" s="86" t="s">
        <v>48</v>
      </c>
      <c r="M66" s="87">
        <f t="shared" si="9"/>
        <v>450</v>
      </c>
      <c r="N66" s="87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</row>
    <row r="67" spans="1:14" ht="15.75">
      <c r="A67" s="86">
        <f t="shared" si="3"/>
        <v>0</v>
      </c>
      <c r="B67" s="86" t="s">
        <v>44</v>
      </c>
      <c r="C67" s="86">
        <f t="shared" si="4"/>
        <v>0</v>
      </c>
      <c r="D67" s="87">
        <f aca="true" t="shared" si="10" ref="D67:D71">+D66*2</f>
        <v>400</v>
      </c>
      <c r="E67" s="87">
        <f t="shared" si="5"/>
        <v>0</v>
      </c>
      <c r="F67" s="87"/>
      <c r="G67" s="88">
        <f t="shared" si="6"/>
        <v>44419</v>
      </c>
      <c r="H67" s="86"/>
      <c r="I67" s="86">
        <f t="shared" si="7"/>
        <v>0</v>
      </c>
      <c r="J67"/>
      <c r="K67"/>
      <c r="L67" s="86" t="s">
        <v>49</v>
      </c>
      <c r="M67" s="87">
        <f t="shared" si="9"/>
        <v>0</v>
      </c>
      <c r="N67" s="87"/>
    </row>
    <row r="68" spans="1:14" ht="15.75">
      <c r="A68" s="86">
        <f t="shared" si="3"/>
        <v>0</v>
      </c>
      <c r="B68" s="86" t="s">
        <v>50</v>
      </c>
      <c r="C68" s="86">
        <f t="shared" si="4"/>
        <v>0</v>
      </c>
      <c r="D68" s="87">
        <f t="shared" si="10"/>
        <v>800</v>
      </c>
      <c r="E68" s="87">
        <f t="shared" si="5"/>
        <v>800</v>
      </c>
      <c r="F68" s="87"/>
      <c r="G68" s="88">
        <f t="shared" si="6"/>
        <v>44420</v>
      </c>
      <c r="H68" s="88">
        <v>44442</v>
      </c>
      <c r="I68" s="86">
        <f t="shared" si="7"/>
        <v>22</v>
      </c>
      <c r="J68"/>
      <c r="K68"/>
      <c r="L68" s="86" t="s">
        <v>51</v>
      </c>
      <c r="M68" s="87">
        <f t="shared" si="9"/>
        <v>900</v>
      </c>
      <c r="N68" s="87"/>
    </row>
    <row r="69" spans="1:14" ht="15.75">
      <c r="A69" s="86">
        <f t="shared" si="3"/>
        <v>0</v>
      </c>
      <c r="B69" s="86" t="s">
        <v>42</v>
      </c>
      <c r="C69" s="86">
        <f t="shared" si="4"/>
        <v>0</v>
      </c>
      <c r="D69" s="87">
        <f t="shared" si="10"/>
        <v>1600</v>
      </c>
      <c r="E69" s="87">
        <f t="shared" si="5"/>
        <v>0</v>
      </c>
      <c r="F69" s="87"/>
      <c r="G69" s="88">
        <v>44421</v>
      </c>
      <c r="H69" s="86"/>
      <c r="I69" s="86">
        <f t="shared" si="7"/>
        <v>0</v>
      </c>
      <c r="J69"/>
      <c r="K69"/>
      <c r="L69" s="86"/>
      <c r="M69" s="86"/>
      <c r="N69" s="86"/>
    </row>
    <row r="70" spans="1:14" ht="15.75">
      <c r="A70" s="86">
        <f t="shared" si="3"/>
        <v>0</v>
      </c>
      <c r="B70" s="86" t="s">
        <v>43</v>
      </c>
      <c r="C70" s="86">
        <f t="shared" si="4"/>
        <v>0</v>
      </c>
      <c r="D70" s="87">
        <f t="shared" si="10"/>
        <v>3200</v>
      </c>
      <c r="E70" s="87">
        <f t="shared" si="5"/>
        <v>0</v>
      </c>
      <c r="F70" s="87"/>
      <c r="G70" s="88">
        <f aca="true" t="shared" si="11" ref="G70:G78">+G69+1</f>
        <v>44422</v>
      </c>
      <c r="H70" s="86"/>
      <c r="I70" s="86">
        <f t="shared" si="7"/>
        <v>0</v>
      </c>
      <c r="J70"/>
      <c r="K70"/>
      <c r="L70" s="84" t="s">
        <v>52</v>
      </c>
      <c r="M70" s="85">
        <f>SUM(M63:M68)</f>
        <v>9462</v>
      </c>
      <c r="N70" s="85"/>
    </row>
    <row r="71" spans="1:14" ht="15.75">
      <c r="A71" s="86">
        <f t="shared" si="3"/>
        <v>0</v>
      </c>
      <c r="B71" s="86" t="s">
        <v>50</v>
      </c>
      <c r="C71" s="86">
        <f t="shared" si="4"/>
        <v>0</v>
      </c>
      <c r="D71" s="87">
        <f t="shared" si="10"/>
        <v>6400</v>
      </c>
      <c r="E71" s="87">
        <f t="shared" si="5"/>
        <v>6400</v>
      </c>
      <c r="F71" s="87"/>
      <c r="G71" s="88">
        <f t="shared" si="11"/>
        <v>44423</v>
      </c>
      <c r="H71" s="88">
        <v>44444</v>
      </c>
      <c r="I71" s="86">
        <f t="shared" si="7"/>
        <v>21</v>
      </c>
      <c r="J71"/>
      <c r="K71"/>
      <c r="L71" s="86"/>
      <c r="M71" s="87"/>
      <c r="N71" s="87"/>
    </row>
    <row r="72" spans="1:14" ht="15.75">
      <c r="A72" s="86">
        <f t="shared" si="3"/>
        <v>0</v>
      </c>
      <c r="B72" s="86" t="s">
        <v>43</v>
      </c>
      <c r="C72" s="86">
        <f t="shared" si="4"/>
        <v>0</v>
      </c>
      <c r="D72" s="87">
        <f>+D71/5</f>
        <v>1280</v>
      </c>
      <c r="E72" s="87">
        <f t="shared" si="5"/>
        <v>0</v>
      </c>
      <c r="F72" s="87"/>
      <c r="G72" s="88">
        <f t="shared" si="11"/>
        <v>44424</v>
      </c>
      <c r="H72" s="86"/>
      <c r="I72" s="86">
        <f t="shared" si="7"/>
        <v>0</v>
      </c>
      <c r="J72"/>
      <c r="K72"/>
      <c r="L72" s="86"/>
      <c r="M72" s="87"/>
      <c r="N72" s="87"/>
    </row>
    <row r="73" spans="1:14" ht="15.75">
      <c r="A73" s="86">
        <f t="shared" si="3"/>
        <v>0</v>
      </c>
      <c r="B73" s="86" t="s">
        <v>44</v>
      </c>
      <c r="C73" s="86">
        <f t="shared" si="4"/>
        <v>0</v>
      </c>
      <c r="D73" s="87">
        <f aca="true" t="shared" si="12" ref="D73:D74">+D72*2</f>
        <v>2560</v>
      </c>
      <c r="E73" s="87">
        <f t="shared" si="5"/>
        <v>0</v>
      </c>
      <c r="F73" s="87"/>
      <c r="G73" s="88">
        <f t="shared" si="11"/>
        <v>44425</v>
      </c>
      <c r="H73" s="86"/>
      <c r="I73" s="86">
        <f t="shared" si="7"/>
        <v>0</v>
      </c>
      <c r="J73"/>
      <c r="K73"/>
      <c r="L73" s="86"/>
      <c r="M73" s="87"/>
      <c r="N73" s="87"/>
    </row>
    <row r="74" spans="1:14" ht="15.75">
      <c r="A74" s="86">
        <f t="shared" si="3"/>
        <v>0</v>
      </c>
      <c r="B74" s="86" t="s">
        <v>42</v>
      </c>
      <c r="C74" s="86">
        <f t="shared" si="4"/>
        <v>0</v>
      </c>
      <c r="D74" s="87">
        <f t="shared" si="12"/>
        <v>5120</v>
      </c>
      <c r="E74" s="87">
        <f t="shared" si="5"/>
        <v>0</v>
      </c>
      <c r="F74" s="87"/>
      <c r="G74" s="88">
        <f t="shared" si="11"/>
        <v>44426</v>
      </c>
      <c r="H74" s="86"/>
      <c r="I74" s="86">
        <f t="shared" si="7"/>
        <v>0</v>
      </c>
      <c r="J74"/>
      <c r="K74"/>
      <c r="L74" s="86"/>
      <c r="M74" s="87"/>
      <c r="N74" s="87"/>
    </row>
    <row r="75" spans="1:14" ht="15.75">
      <c r="A75" s="86">
        <f t="shared" si="3"/>
        <v>0</v>
      </c>
      <c r="B75" s="86" t="s">
        <v>53</v>
      </c>
      <c r="C75" s="86">
        <f t="shared" si="4"/>
        <v>0</v>
      </c>
      <c r="D75" s="87">
        <f aca="true" t="shared" si="13" ref="D75:D76">+D73/20</f>
        <v>128</v>
      </c>
      <c r="E75" s="87">
        <f t="shared" si="5"/>
        <v>0</v>
      </c>
      <c r="F75" s="87"/>
      <c r="G75" s="88">
        <f t="shared" si="11"/>
        <v>44427</v>
      </c>
      <c r="H75" s="86"/>
      <c r="I75" s="86">
        <f t="shared" si="7"/>
        <v>0</v>
      </c>
      <c r="J75"/>
      <c r="K75"/>
      <c r="L75" s="86"/>
      <c r="M75" s="87"/>
      <c r="N75" s="87"/>
    </row>
    <row r="76" spans="1:14" ht="15.75">
      <c r="A76" s="86">
        <f t="shared" si="3"/>
        <v>0</v>
      </c>
      <c r="B76" s="86" t="s">
        <v>43</v>
      </c>
      <c r="C76" s="86">
        <f t="shared" si="4"/>
        <v>0</v>
      </c>
      <c r="D76" s="87">
        <f t="shared" si="13"/>
        <v>256</v>
      </c>
      <c r="E76" s="87">
        <f t="shared" si="5"/>
        <v>0</v>
      </c>
      <c r="F76" s="87"/>
      <c r="G76" s="88">
        <f t="shared" si="11"/>
        <v>44428</v>
      </c>
      <c r="H76" s="86"/>
      <c r="I76" s="86">
        <f t="shared" si="7"/>
        <v>0</v>
      </c>
      <c r="J76"/>
      <c r="K76"/>
      <c r="L76" s="86"/>
      <c r="M76" s="87"/>
      <c r="N76" s="87"/>
    </row>
    <row r="77" spans="1:14" ht="15.75">
      <c r="A77" s="86">
        <f t="shared" si="3"/>
        <v>0</v>
      </c>
      <c r="B77" s="86" t="s">
        <v>54</v>
      </c>
      <c r="C77" s="86">
        <f t="shared" si="4"/>
        <v>0</v>
      </c>
      <c r="D77" s="87">
        <f aca="true" t="shared" si="14" ref="D77:D78">+D76*2</f>
        <v>512</v>
      </c>
      <c r="E77" s="87">
        <f t="shared" si="5"/>
        <v>512</v>
      </c>
      <c r="F77" s="87"/>
      <c r="G77" s="88">
        <f t="shared" si="11"/>
        <v>44429</v>
      </c>
      <c r="H77" s="88">
        <v>44454</v>
      </c>
      <c r="I77" s="86">
        <f t="shared" si="7"/>
        <v>25</v>
      </c>
      <c r="J77"/>
      <c r="K77"/>
      <c r="L77" s="86"/>
      <c r="M77" s="87"/>
      <c r="N77" s="87"/>
    </row>
    <row r="78" spans="1:14" ht="15.75">
      <c r="A78" s="86">
        <f t="shared" si="3"/>
        <v>0</v>
      </c>
      <c r="B78" s="86" t="s">
        <v>43</v>
      </c>
      <c r="C78" s="86">
        <f t="shared" si="4"/>
        <v>0</v>
      </c>
      <c r="D78" s="87">
        <f t="shared" si="14"/>
        <v>1024</v>
      </c>
      <c r="E78" s="87">
        <f t="shared" si="5"/>
        <v>0</v>
      </c>
      <c r="F78" s="87"/>
      <c r="G78" s="88">
        <f t="shared" si="11"/>
        <v>44430</v>
      </c>
      <c r="H78" s="86"/>
      <c r="I78" s="86">
        <f t="shared" si="7"/>
        <v>0</v>
      </c>
      <c r="J78"/>
      <c r="K78"/>
      <c r="L78" s="86"/>
      <c r="M78" s="87"/>
      <c r="N78" s="87"/>
    </row>
    <row r="79" spans="1:14" ht="15.75">
      <c r="A79" s="86"/>
      <c r="B79" s="86"/>
      <c r="C79" s="86"/>
      <c r="D79" s="87"/>
      <c r="E79" s="86"/>
      <c r="F79" s="86"/>
      <c r="G79" s="86"/>
      <c r="H79" s="86"/>
      <c r="I79" s="86"/>
      <c r="J79"/>
      <c r="K79"/>
      <c r="L79" s="86"/>
      <c r="M79" s="87"/>
      <c r="N79" s="87"/>
    </row>
    <row r="80" spans="1:14" ht="15.75">
      <c r="A80" s="84"/>
      <c r="B80" s="84"/>
      <c r="C80" s="89" t="s">
        <v>52</v>
      </c>
      <c r="D80" s="85">
        <f>SUM(D61:D79)</f>
        <v>25030</v>
      </c>
      <c r="E80" s="85">
        <f>SUM(E61:E79)</f>
        <v>9462</v>
      </c>
      <c r="F80" s="85"/>
      <c r="G80" s="84"/>
      <c r="H80" s="84"/>
      <c r="I80" s="84"/>
      <c r="J80" s="84"/>
      <c r="K80" s="84"/>
      <c r="L80" s="84"/>
      <c r="M80" s="85"/>
      <c r="N80" s="85"/>
    </row>
    <row r="81" spans="1:14" ht="15.75">
      <c r="A81" s="86"/>
      <c r="B81" s="86"/>
      <c r="C81" s="86"/>
      <c r="D81" s="87"/>
      <c r="E81" s="86"/>
      <c r="F81" s="86"/>
      <c r="G81" s="86"/>
      <c r="H81" s="86"/>
      <c r="I81" s="86"/>
      <c r="J81"/>
      <c r="K81"/>
      <c r="L81" s="86"/>
      <c r="M81" s="87"/>
      <c r="N81" s="87"/>
    </row>
    <row r="82" spans="1:14" ht="15.75">
      <c r="A82" s="86"/>
      <c r="B82" s="86"/>
      <c r="C82" s="86"/>
      <c r="D82" s="87"/>
      <c r="E82" s="86"/>
      <c r="F82" s="86"/>
      <c r="G82" s="86"/>
      <c r="H82" s="86"/>
      <c r="I82" s="86"/>
      <c r="J82"/>
      <c r="K82"/>
      <c r="L82" s="86"/>
      <c r="M82" s="87"/>
      <c r="N82" s="87"/>
    </row>
    <row r="83" spans="1:14" ht="15.75">
      <c r="A83" s="86"/>
      <c r="B83" s="86"/>
      <c r="C83" s="86"/>
      <c r="D83" s="87"/>
      <c r="E83" s="86"/>
      <c r="F83" s="86"/>
      <c r="G83" s="86"/>
      <c r="H83" s="86"/>
      <c r="I83" s="86"/>
      <c r="J83"/>
      <c r="K83"/>
      <c r="L83" s="86"/>
      <c r="M83" s="87"/>
      <c r="N83" s="87"/>
    </row>
    <row r="84" spans="1:14" ht="15.75">
      <c r="A84" s="86"/>
      <c r="B84" s="86"/>
      <c r="C84" s="86" t="s">
        <v>55</v>
      </c>
      <c r="D84" s="87"/>
      <c r="E84" s="86" t="s">
        <v>55</v>
      </c>
      <c r="F84" s="86"/>
      <c r="G84" s="86"/>
      <c r="H84" s="86"/>
      <c r="I84" s="86" t="s">
        <v>55</v>
      </c>
      <c r="J84"/>
      <c r="K84"/>
      <c r="L84" s="86"/>
      <c r="M84" s="87" t="s">
        <v>55</v>
      </c>
      <c r="N84" s="87"/>
    </row>
  </sheetData>
  <sheetProtection selectLockedCells="1" selectUnlockedCells="1"/>
  <mergeCells count="42">
    <mergeCell ref="A1:I1"/>
    <mergeCell ref="J4:L26"/>
    <mergeCell ref="A27:A35"/>
    <mergeCell ref="B27:B31"/>
    <mergeCell ref="C27:D27"/>
    <mergeCell ref="H27:I27"/>
    <mergeCell ref="C28:D28"/>
    <mergeCell ref="C30:E30"/>
    <mergeCell ref="H30:H31"/>
    <mergeCell ref="I30:I31"/>
    <mergeCell ref="C31:E31"/>
    <mergeCell ref="B32:B34"/>
    <mergeCell ref="C32:D32"/>
    <mergeCell ref="H32:H33"/>
    <mergeCell ref="I32:I33"/>
    <mergeCell ref="C33:D33"/>
    <mergeCell ref="A37:A45"/>
    <mergeCell ref="B37:B41"/>
    <mergeCell ref="C37:D37"/>
    <mergeCell ref="H37:I37"/>
    <mergeCell ref="C38:D38"/>
    <mergeCell ref="C40:E40"/>
    <mergeCell ref="H40:H41"/>
    <mergeCell ref="I40:I41"/>
    <mergeCell ref="C41:E41"/>
    <mergeCell ref="B42:B44"/>
    <mergeCell ref="C42:D42"/>
    <mergeCell ref="H42:H43"/>
    <mergeCell ref="I42:I43"/>
    <mergeCell ref="C43:D43"/>
    <mergeCell ref="B47:B55"/>
    <mergeCell ref="C47:C51"/>
    <mergeCell ref="D47:E47"/>
    <mergeCell ref="D48:E48"/>
    <mergeCell ref="D49:E49"/>
    <mergeCell ref="D50:E50"/>
    <mergeCell ref="D51:E51"/>
    <mergeCell ref="C52:C54"/>
    <mergeCell ref="D52:E52"/>
    <mergeCell ref="D53:E53"/>
    <mergeCell ref="D54:E54"/>
    <mergeCell ref="D55:E55"/>
  </mergeCells>
  <conditionalFormatting sqref="I29">
    <cfRule type="cellIs" priority="1" dxfId="0" operator="lessThan" stopIfTrue="1">
      <formula>$I$28</formula>
    </cfRule>
  </conditionalFormatting>
  <conditionalFormatting sqref="I39">
    <cfRule type="cellIs" priority="2" dxfId="0" operator="lessThan" stopIfTrue="1">
      <formula>$I$38</formula>
    </cfRule>
  </conditionalFormatting>
  <dataValidations count="4">
    <dataValidation type="list" operator="equal" allowBlank="1" showErrorMessage="1" sqref="E4:E25 E26:F26">
      <formula1>TypeCodes</formula1>
    </dataValidation>
    <dataValidation type="list" operator="equal" allowBlank="1" showErrorMessage="1" sqref="B25:B26">
      <formula1>NA()</formula1>
    </dataValidation>
    <dataValidation type="list" operator="equal" showErrorMessage="1" sqref="E3">
      <formula1>TypeCodes</formula1>
    </dataValidation>
    <dataValidation operator="equal" showErrorMessage="1" sqref="F3:F25">
      <formula1>TypeCodes</formula1>
    </dataValidation>
  </dataValidations>
  <printOptions horizontalCentered="1" verticalCentered="1"/>
  <pageMargins left="0.7000000000000001" right="0.7000000000000001" top="0.6173611111111111" bottom="0.5118055555555556" header="0.16527777777777777" footer="0.5118055555555556"/>
  <pageSetup horizontalDpi="300" verticalDpi="300" orientation="portrait"/>
  <headerFooter alignWithMargins="0">
    <oddHeader>&amp;L&amp;9 Printed &amp;D&amp;C&amp;"Calibri,Bold"&amp;16NECI CP BUDGET TRACKING&amp;R&amp;9Page &amp;P</oddHeader>
    <oddFooter>&amp;C&amp;8&amp;F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="110" zoomScaleNormal="110" workbookViewId="0" topLeftCell="A1">
      <selection activeCell="A4" sqref="A4"/>
    </sheetView>
  </sheetViews>
  <sheetFormatPr defaultColWidth="9.140625" defaultRowHeight="15"/>
  <cols>
    <col min="1" max="1" width="11.28125" style="0" customWidth="1"/>
    <col min="2" max="2" width="27.8515625" style="0" customWidth="1"/>
    <col min="3" max="4" width="11.57421875" style="0" customWidth="1"/>
    <col min="5" max="5" width="11.421875" style="0" customWidth="1"/>
    <col min="6" max="6" width="11.57421875" style="0" customWidth="1"/>
    <col min="7" max="16384" width="7.421875" style="0" customWidth="1"/>
  </cols>
  <sheetData>
    <row r="1" spans="1:5" s="91" customFormat="1" ht="12.75" customHeight="1">
      <c r="A1" s="90" t="s">
        <v>56</v>
      </c>
      <c r="E1" s="92" t="s">
        <v>57</v>
      </c>
    </row>
    <row r="2" spans="1:5" ht="15" customHeight="1">
      <c r="A2" s="93" t="s">
        <v>9</v>
      </c>
      <c r="B2" s="94" t="s">
        <v>58</v>
      </c>
      <c r="C2" s="94"/>
      <c r="E2" s="93" t="s">
        <v>59</v>
      </c>
    </row>
    <row r="3" spans="1:5" ht="15" customHeight="1">
      <c r="A3" s="93" t="s">
        <v>59</v>
      </c>
      <c r="B3" s="94" t="s">
        <v>60</v>
      </c>
      <c r="C3" s="94"/>
      <c r="E3" s="93" t="s">
        <v>59</v>
      </c>
    </row>
    <row r="4" spans="1:5" ht="15" customHeight="1">
      <c r="A4" s="93" t="s">
        <v>11</v>
      </c>
      <c r="B4" s="94" t="s">
        <v>61</v>
      </c>
      <c r="C4" s="94"/>
      <c r="E4" s="93" t="s">
        <v>62</v>
      </c>
    </row>
    <row r="5" spans="1:5" ht="15" customHeight="1">
      <c r="A5" s="93" t="s">
        <v>62</v>
      </c>
      <c r="B5" s="94" t="s">
        <v>63</v>
      </c>
      <c r="C5" s="94"/>
      <c r="E5" s="93" t="s">
        <v>62</v>
      </c>
    </row>
    <row r="6" spans="1:5" ht="15" customHeight="1">
      <c r="A6" s="95" t="s">
        <v>64</v>
      </c>
      <c r="B6" s="95" t="s">
        <v>58</v>
      </c>
      <c r="C6" s="95"/>
      <c r="E6" s="95" t="s">
        <v>65</v>
      </c>
    </row>
    <row r="7" spans="1:5" ht="15" customHeight="1">
      <c r="A7" s="95" t="s">
        <v>65</v>
      </c>
      <c r="B7" s="95" t="s">
        <v>60</v>
      </c>
      <c r="C7" s="95"/>
      <c r="E7" s="95" t="s">
        <v>65</v>
      </c>
    </row>
    <row r="8" spans="1:5" ht="15" customHeight="1">
      <c r="A8" s="95" t="s">
        <v>13</v>
      </c>
      <c r="B8" s="95" t="s">
        <v>61</v>
      </c>
      <c r="C8" s="95"/>
      <c r="E8" s="95" t="s">
        <v>66</v>
      </c>
    </row>
    <row r="9" spans="1:5" ht="15" customHeight="1">
      <c r="A9" s="95" t="s">
        <v>66</v>
      </c>
      <c r="B9" s="95" t="s">
        <v>63</v>
      </c>
      <c r="C9" s="95"/>
      <c r="E9" s="95" t="s">
        <v>66</v>
      </c>
    </row>
    <row r="10" spans="1:5" ht="15" customHeight="1">
      <c r="A10" s="96" t="s">
        <v>67</v>
      </c>
      <c r="B10" s="97" t="s">
        <v>58</v>
      </c>
      <c r="C10" s="97"/>
      <c r="E10" s="96" t="s">
        <v>68</v>
      </c>
    </row>
    <row r="11" spans="1:5" ht="15" customHeight="1">
      <c r="A11" s="96" t="s">
        <v>68</v>
      </c>
      <c r="B11" s="97" t="s">
        <v>60</v>
      </c>
      <c r="C11" s="97"/>
      <c r="E11" s="96" t="s">
        <v>68</v>
      </c>
    </row>
    <row r="12" spans="1:5" ht="15" customHeight="1">
      <c r="A12" s="96" t="s">
        <v>14</v>
      </c>
      <c r="B12" s="97" t="s">
        <v>61</v>
      </c>
      <c r="C12" s="97"/>
      <c r="E12" s="96" t="s">
        <v>69</v>
      </c>
    </row>
    <row r="13" spans="1:5" ht="15" customHeight="1">
      <c r="A13" s="96" t="s">
        <v>69</v>
      </c>
      <c r="B13" s="97" t="s">
        <v>63</v>
      </c>
      <c r="C13" s="97"/>
      <c r="E13" s="96" t="s">
        <v>69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2021-09-08T11:48:30Z</cp:lastPrinted>
  <dcterms:modified xsi:type="dcterms:W3CDTF">2021-09-14T23:46:42Z</dcterms:modified>
  <cp:category/>
  <cp:version/>
  <cp:contentType/>
  <cp:contentStatus/>
  <cp:revision>1099</cp:revision>
</cp:coreProperties>
</file>