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0260" windowHeight="7860" tabRatio="750" activeTab="4"/>
  </bookViews>
  <sheets>
    <sheet name="1" sheetId="35" r:id="rId1"/>
    <sheet name="2" sheetId="25" r:id="rId2"/>
    <sheet name="3" sheetId="27" r:id="rId3"/>
    <sheet name="4" sheetId="24" r:id="rId4"/>
    <sheet name="SUM" sheetId="34" r:id="rId5"/>
  </sheets>
  <definedNames>
    <definedName name="_xlnm.Print_Area" localSheetId="0">'1'!$A$1:$P$126</definedName>
  </definedNames>
  <calcPr calcId="145621"/>
</workbook>
</file>

<file path=xl/calcChain.xml><?xml version="1.0" encoding="utf-8"?>
<calcChain xmlns="http://schemas.openxmlformats.org/spreadsheetml/2006/main">
  <c r="D152" i="24" l="1"/>
  <c r="D151" i="24"/>
  <c r="D150" i="24"/>
  <c r="D149" i="24"/>
  <c r="D148" i="24"/>
  <c r="D147" i="24"/>
  <c r="D138" i="24"/>
  <c r="D137" i="24"/>
  <c r="D136" i="24"/>
  <c r="D135" i="24"/>
  <c r="D134" i="24"/>
  <c r="D133" i="24"/>
  <c r="D119" i="24"/>
  <c r="E162" i="24"/>
  <c r="H162" i="24" s="1"/>
  <c r="E161" i="24"/>
  <c r="H161" i="24" s="1"/>
  <c r="E160" i="24"/>
  <c r="H160" i="24" s="1"/>
  <c r="J163" i="24"/>
  <c r="D110" i="24"/>
  <c r="D109" i="24"/>
  <c r="D92" i="24"/>
  <c r="D91" i="24"/>
  <c r="D84" i="24"/>
  <c r="D83" i="24"/>
  <c r="D81" i="24"/>
  <c r="D45" i="24"/>
  <c r="B99" i="24"/>
  <c r="B90" i="24"/>
  <c r="B80" i="24"/>
  <c r="B70" i="24"/>
  <c r="B44" i="24"/>
  <c r="E7" i="27"/>
  <c r="B52" i="25"/>
  <c r="B39" i="25"/>
  <c r="D40" i="34"/>
  <c r="D36" i="34"/>
  <c r="D32" i="34"/>
  <c r="D28" i="34"/>
  <c r="D20" i="34"/>
  <c r="D39" i="34"/>
  <c r="D35" i="34"/>
  <c r="D31" i="34"/>
  <c r="D27" i="34"/>
  <c r="D23" i="34"/>
  <c r="D19" i="34"/>
  <c r="D15" i="34"/>
  <c r="D18" i="34"/>
  <c r="D38" i="34"/>
  <c r="D34" i="34"/>
  <c r="D30" i="34"/>
  <c r="D26" i="34"/>
  <c r="D22" i="34"/>
  <c r="D14" i="34"/>
  <c r="D37" i="34"/>
  <c r="D33" i="34"/>
  <c r="D29" i="34"/>
  <c r="D25" i="34"/>
  <c r="D21" i="34"/>
  <c r="D17" i="34"/>
  <c r="D24" i="34"/>
  <c r="D16" i="34"/>
  <c r="D12" i="34"/>
  <c r="D8" i="34"/>
  <c r="D11" i="34"/>
  <c r="D10" i="34"/>
  <c r="D9" i="34"/>
  <c r="D7" i="34"/>
  <c r="E7" i="25" l="1"/>
  <c r="E7" i="24"/>
  <c r="I163" i="24"/>
  <c r="E14" i="35" l="1"/>
  <c r="E12" i="35"/>
  <c r="E11" i="35"/>
  <c r="E10" i="35"/>
  <c r="E8" i="35"/>
  <c r="E7" i="35"/>
  <c r="B112" i="35"/>
  <c r="D59" i="24"/>
  <c r="D71" i="24"/>
  <c r="E15" i="35" l="1"/>
  <c r="H148" i="24"/>
  <c r="H149" i="24"/>
  <c r="H150" i="24"/>
  <c r="H151" i="24"/>
  <c r="H152" i="24"/>
  <c r="H147" i="24"/>
  <c r="J154" i="24"/>
  <c r="J140" i="24"/>
  <c r="F134" i="24"/>
  <c r="H134" i="24" s="1"/>
  <c r="F135" i="24"/>
  <c r="F136" i="24"/>
  <c r="F137" i="24"/>
  <c r="F138" i="24"/>
  <c r="F133" i="24"/>
  <c r="E119" i="24"/>
  <c r="H119" i="24" s="1"/>
  <c r="J122" i="24"/>
  <c r="H110" i="24"/>
  <c r="H109" i="24"/>
  <c r="H133" i="24" l="1"/>
  <c r="H135" i="24"/>
  <c r="H138" i="24"/>
  <c r="H137" i="24"/>
  <c r="H136" i="24"/>
  <c r="I122" i="24"/>
  <c r="I140" i="24"/>
  <c r="I112" i="24"/>
  <c r="I154" i="24"/>
  <c r="G91" i="24" l="1"/>
  <c r="H84" i="24"/>
  <c r="G83" i="24"/>
  <c r="E83" i="24"/>
  <c r="C59" i="24"/>
  <c r="G45" i="24"/>
  <c r="F45" i="24"/>
  <c r="F71" i="24" s="1"/>
  <c r="E45" i="24"/>
  <c r="E59" i="24" s="1"/>
  <c r="E81" i="24" s="1"/>
  <c r="H101" i="27"/>
  <c r="I104" i="27" s="1"/>
  <c r="J104" i="27"/>
  <c r="I97" i="27"/>
  <c r="I105" i="27"/>
  <c r="E88" i="27"/>
  <c r="H88" i="27" s="1"/>
  <c r="G69" i="27"/>
  <c r="G68" i="27"/>
  <c r="E68" i="27"/>
  <c r="G66" i="27"/>
  <c r="E59" i="27"/>
  <c r="G59" i="27"/>
  <c r="G57" i="27"/>
  <c r="D57" i="27"/>
  <c r="D56" i="27"/>
  <c r="D50" i="27"/>
  <c r="D49" i="27"/>
  <c r="G41" i="27"/>
  <c r="F41" i="27"/>
  <c r="F57" i="27" s="1"/>
  <c r="E41" i="27"/>
  <c r="E57" i="27" s="1"/>
  <c r="G40" i="27"/>
  <c r="F40" i="27"/>
  <c r="F56" i="27" s="1"/>
  <c r="E40" i="27"/>
  <c r="E56" i="27" s="1"/>
  <c r="J94" i="25"/>
  <c r="E90" i="25"/>
  <c r="H90" i="25" s="1"/>
  <c r="I94" i="25" s="1"/>
  <c r="G73" i="25"/>
  <c r="J68" i="25"/>
  <c r="J58" i="25"/>
  <c r="B53" i="25"/>
  <c r="H40" i="25"/>
  <c r="I48" i="25" s="1"/>
  <c r="H68" i="27" l="1"/>
  <c r="F59" i="24"/>
  <c r="F81" i="24" s="1"/>
  <c r="H81" i="24" s="1"/>
  <c r="H83" i="24"/>
  <c r="E71" i="24"/>
  <c r="H71" i="24" s="1"/>
  <c r="H45" i="24"/>
  <c r="E50" i="27"/>
  <c r="H59" i="27"/>
  <c r="E87" i="27"/>
  <c r="E49" i="27"/>
  <c r="H56" i="27"/>
  <c r="H57" i="27"/>
  <c r="E70" i="27"/>
  <c r="H70" i="27" s="1"/>
  <c r="E67" i="27"/>
  <c r="H67" i="27" s="1"/>
  <c r="E66" i="27"/>
  <c r="H66" i="27" s="1"/>
  <c r="F49" i="27"/>
  <c r="F50" i="27"/>
  <c r="E69" i="27"/>
  <c r="H69" i="27" s="1"/>
  <c r="H40" i="27"/>
  <c r="H41" i="27"/>
  <c r="H113" i="35"/>
  <c r="H98" i="35"/>
  <c r="H97" i="35"/>
  <c r="G73" i="35"/>
  <c r="G64" i="35"/>
  <c r="G40" i="35"/>
  <c r="F40" i="35"/>
  <c r="E40" i="35"/>
  <c r="E92" i="24" l="1"/>
  <c r="H92" i="24" s="1"/>
  <c r="E91" i="24"/>
  <c r="H59" i="24"/>
  <c r="I64" i="24"/>
  <c r="I76" i="24"/>
  <c r="I53" i="24"/>
  <c r="I117" i="35"/>
  <c r="H91" i="24"/>
  <c r="I44" i="27"/>
  <c r="I61" i="27"/>
  <c r="E79" i="27" s="1"/>
  <c r="I86" i="24"/>
  <c r="E101" i="24" s="1"/>
  <c r="H40" i="35"/>
  <c r="I101" i="35"/>
  <c r="H50" i="27"/>
  <c r="H49" i="27"/>
  <c r="I72" i="27"/>
  <c r="I94" i="24" l="1"/>
  <c r="I52" i="35"/>
  <c r="M41" i="35" s="1"/>
  <c r="I51" i="27"/>
  <c r="M50" i="35"/>
  <c r="B113" i="35"/>
  <c r="D7" i="35" s="1"/>
  <c r="I108" i="35"/>
  <c r="M49" i="35" s="1"/>
  <c r="D73" i="35"/>
  <c r="H73" i="35" s="1"/>
  <c r="C73" i="35"/>
  <c r="F64" i="35"/>
  <c r="E64" i="35"/>
  <c r="D64" i="35"/>
  <c r="C64" i="35"/>
  <c r="F57" i="35"/>
  <c r="E57" i="35"/>
  <c r="D57" i="35"/>
  <c r="C57" i="35"/>
  <c r="L50" i="35"/>
  <c r="L49" i="35"/>
  <c r="L48" i="35"/>
  <c r="L47" i="35"/>
  <c r="L46" i="35"/>
  <c r="L45" i="35"/>
  <c r="L44" i="35"/>
  <c r="L42" i="35"/>
  <c r="L41" i="35"/>
  <c r="D15" i="35" l="1"/>
  <c r="D14" i="35"/>
  <c r="I76" i="35"/>
  <c r="D11" i="35"/>
  <c r="H64" i="35"/>
  <c r="H57" i="35"/>
  <c r="M45" i="35"/>
  <c r="M48" i="35"/>
  <c r="B41" i="27"/>
  <c r="B40" i="27"/>
  <c r="B40" i="25"/>
  <c r="B101" i="24"/>
  <c r="B92" i="24"/>
  <c r="B91" i="24"/>
  <c r="B84" i="24"/>
  <c r="B83" i="24"/>
  <c r="B81" i="24"/>
  <c r="B71" i="24"/>
  <c r="B45" i="24"/>
  <c r="D17" i="24" l="1"/>
  <c r="D16" i="24"/>
  <c r="D21" i="24"/>
  <c r="D19" i="24"/>
  <c r="D18" i="24"/>
  <c r="D20" i="24"/>
  <c r="D10" i="27"/>
  <c r="D7" i="27"/>
  <c r="E16" i="27"/>
  <c r="E14" i="27"/>
  <c r="E11" i="27"/>
  <c r="E8" i="27"/>
  <c r="D16" i="27"/>
  <c r="D11" i="27"/>
  <c r="D8" i="27"/>
  <c r="E15" i="27"/>
  <c r="E10" i="27"/>
  <c r="E13" i="27"/>
  <c r="E11" i="24"/>
  <c r="D7" i="24"/>
  <c r="D23" i="24"/>
  <c r="E15" i="24"/>
  <c r="E13" i="24"/>
  <c r="D9" i="24"/>
  <c r="D8" i="24"/>
  <c r="E23" i="24"/>
  <c r="D12" i="24"/>
  <c r="E9" i="24"/>
  <c r="D11" i="24"/>
  <c r="E8" i="24"/>
  <c r="E22" i="24"/>
  <c r="E12" i="24"/>
  <c r="E14" i="24"/>
  <c r="D14" i="24"/>
  <c r="D15" i="24"/>
  <c r="D22" i="24"/>
  <c r="E11" i="25"/>
  <c r="E8" i="25"/>
  <c r="E12" i="25"/>
  <c r="D7" i="25"/>
  <c r="E13" i="25"/>
  <c r="E10" i="25"/>
  <c r="D13" i="25"/>
  <c r="I67" i="35"/>
  <c r="M44" i="35" s="1"/>
  <c r="D10" i="35"/>
  <c r="I59" i="35"/>
  <c r="M42" i="35" s="1"/>
  <c r="D8" i="35"/>
  <c r="I92" i="35"/>
  <c r="M47" i="35" s="1"/>
  <c r="E82" i="35" l="1"/>
  <c r="E84" i="35" s="1"/>
  <c r="G82" i="35" l="1"/>
  <c r="H82" i="35" l="1"/>
  <c r="D12" i="35" s="1"/>
  <c r="G84" i="35"/>
  <c r="H84" i="35"/>
  <c r="I84" i="35" s="1"/>
  <c r="M46" i="35" l="1"/>
  <c r="G85" i="35"/>
  <c r="D95" i="27"/>
  <c r="H95" i="27" s="1"/>
  <c r="C95" i="27"/>
  <c r="C88" i="27"/>
  <c r="C57" i="27"/>
  <c r="C50" i="27"/>
  <c r="D94" i="27" l="1"/>
  <c r="H94" i="27" s="1"/>
  <c r="C94" i="27"/>
  <c r="C87" i="27"/>
  <c r="C56" i="27"/>
  <c r="C49" i="27"/>
  <c r="C59" i="27" s="1"/>
  <c r="L43" i="27"/>
  <c r="L42" i="27"/>
  <c r="L40" i="27"/>
  <c r="L39" i="27"/>
  <c r="I96" i="27" l="1"/>
  <c r="D15" i="27"/>
  <c r="M43" i="27"/>
  <c r="M39" i="27"/>
  <c r="F53" i="25"/>
  <c r="D73" i="25"/>
  <c r="E53" i="25"/>
  <c r="D53" i="25"/>
  <c r="E63" i="25" l="1"/>
  <c r="E73" i="25"/>
  <c r="F63" i="25"/>
  <c r="F73" i="25"/>
  <c r="H73" i="25" s="1"/>
  <c r="H53" i="25"/>
  <c r="D11" i="25" s="1"/>
  <c r="D87" i="27"/>
  <c r="M40" i="27"/>
  <c r="I75" i="25" l="1"/>
  <c r="E82" i="25" s="1"/>
  <c r="D10" i="25"/>
  <c r="H87" i="27"/>
  <c r="H63" i="25"/>
  <c r="I58" i="25"/>
  <c r="G82" i="25"/>
  <c r="H82" i="25" s="1"/>
  <c r="D12" i="25" s="1"/>
  <c r="M42" i="27"/>
  <c r="I68" i="25" l="1"/>
  <c r="D8" i="25"/>
  <c r="I89" i="27"/>
  <c r="D14" i="27"/>
  <c r="E81" i="27"/>
  <c r="G79" i="27"/>
  <c r="E84" i="25"/>
  <c r="G81" i="27" l="1"/>
  <c r="H79" i="27"/>
  <c r="D13" i="27" s="1"/>
  <c r="H84" i="25"/>
  <c r="I84" i="25" s="1"/>
  <c r="G84" i="25"/>
  <c r="L49" i="24"/>
  <c r="C101" i="24"/>
  <c r="G101" i="24"/>
  <c r="H101" i="24" s="1"/>
  <c r="D13" i="24" s="1"/>
  <c r="C81" i="24"/>
  <c r="C71" i="24"/>
  <c r="L54" i="24"/>
  <c r="N53" i="24"/>
  <c r="M53" i="24"/>
  <c r="L53" i="24"/>
  <c r="L52" i="24"/>
  <c r="L51" i="24"/>
  <c r="L50" i="24"/>
  <c r="L48" i="24"/>
  <c r="L47" i="24"/>
  <c r="L45" i="24"/>
  <c r="L44" i="24"/>
  <c r="M52" i="24" l="1"/>
  <c r="M48" i="24"/>
  <c r="M49" i="24"/>
  <c r="H81" i="27"/>
  <c r="I81" i="27" s="1"/>
  <c r="G85" i="25"/>
  <c r="M54" i="24"/>
  <c r="M44" i="24"/>
  <c r="M47" i="24"/>
  <c r="E103" i="24"/>
  <c r="G103" i="24" l="1"/>
  <c r="M51" i="24"/>
  <c r="G82" i="27"/>
  <c r="M45" i="24"/>
  <c r="H103" i="24" l="1"/>
  <c r="I103" i="24" s="1"/>
  <c r="M50" i="24" l="1"/>
  <c r="G104" i="24"/>
</calcChain>
</file>

<file path=xl/sharedStrings.xml><?xml version="1.0" encoding="utf-8"?>
<sst xmlns="http://schemas.openxmlformats.org/spreadsheetml/2006/main" count="744" uniqueCount="139">
  <si>
    <t>EXCAVATION</t>
  </si>
  <si>
    <t>S.NO.</t>
  </si>
  <si>
    <t>DESCRIPTION</t>
  </si>
  <si>
    <t>NO.</t>
  </si>
  <si>
    <t>L</t>
  </si>
  <si>
    <t>H</t>
  </si>
  <si>
    <t>QTY.</t>
  </si>
  <si>
    <t>(m)</t>
  </si>
  <si>
    <t>(cu-m)</t>
  </si>
  <si>
    <t xml:space="preserve">Weight </t>
  </si>
  <si>
    <t>Weight</t>
  </si>
  <si>
    <t>Kg</t>
  </si>
  <si>
    <t>REINFORCEMENT</t>
  </si>
  <si>
    <t>W</t>
  </si>
  <si>
    <t>Volume</t>
  </si>
  <si>
    <t>(cu. m)</t>
  </si>
  <si>
    <t>(kg/ cu. m)</t>
  </si>
  <si>
    <t>Avg Kg/cu.m</t>
  </si>
  <si>
    <t>Total</t>
  </si>
  <si>
    <t>Excavation</t>
  </si>
  <si>
    <t>Cu.m</t>
  </si>
  <si>
    <t>BITUMEN COATING</t>
  </si>
  <si>
    <t>(Sq-m)</t>
  </si>
  <si>
    <t>Bitumen</t>
  </si>
  <si>
    <t>Steel</t>
  </si>
  <si>
    <t>ton</t>
  </si>
  <si>
    <t>Sq.m</t>
  </si>
  <si>
    <t>Cem. Grout</t>
  </si>
  <si>
    <t>Epoxy Grout</t>
  </si>
  <si>
    <t>(kg)</t>
  </si>
  <si>
    <t>An. Bolts</t>
  </si>
  <si>
    <t>assumed</t>
  </si>
  <si>
    <t>RCC CONCRETE:</t>
  </si>
  <si>
    <t>A</t>
  </si>
  <si>
    <t>B</t>
  </si>
  <si>
    <t>ANCHOR BOLTS</t>
  </si>
  <si>
    <t>KG</t>
  </si>
  <si>
    <t>CC 1 : 4 : 8</t>
  </si>
  <si>
    <t>RCC 3750 PSI</t>
  </si>
  <si>
    <t>BYCO PETROLEUM PAKISTAN LIMITED</t>
  </si>
  <si>
    <t>FOUNDATION UPTO TOG</t>
  </si>
  <si>
    <t>CEMENTITIOUS GROUT G1</t>
  </si>
  <si>
    <t>EPOXY GROUT G2</t>
  </si>
  <si>
    <t>BOLT</t>
  </si>
  <si>
    <t>(Dia)</t>
  </si>
  <si>
    <t>WEIGHT</t>
  </si>
  <si>
    <t>NO OF BOLT</t>
  </si>
  <si>
    <t>(Nos.)</t>
  </si>
  <si>
    <t>(Kg/Bolt)</t>
  </si>
  <si>
    <t>M 24</t>
  </si>
  <si>
    <t>BOQ FOR PUMP FOUNDATION (UNIT-0300)</t>
  </si>
  <si>
    <t>BASE</t>
  </si>
  <si>
    <t>PEDESTAL</t>
  </si>
  <si>
    <t>EMBEDDED PLATE</t>
  </si>
  <si>
    <t>(KG)</t>
  </si>
  <si>
    <t>UNIT</t>
  </si>
  <si>
    <t>SUMMARY</t>
  </si>
  <si>
    <t>TON</t>
  </si>
  <si>
    <t>DWG NO: 05-300-365-0017 REV. S-3 &amp; S-1 (DATED: 10-02-2021)</t>
  </si>
  <si>
    <t>SURFACE PROTECTION COATING</t>
  </si>
  <si>
    <t>Coating</t>
  </si>
  <si>
    <t>PUMP FOUNDATION SUMMARY</t>
  </si>
  <si>
    <t xml:space="preserve">MTO QTY </t>
  </si>
  <si>
    <t>BOQ FOR DRUM FOUNDATION (UNIT-0300)</t>
  </si>
  <si>
    <t>DRUM (0306-42) BASE SIDE</t>
  </si>
  <si>
    <t>BASE TOP</t>
  </si>
  <si>
    <t>PEDESTALS</t>
  </si>
  <si>
    <t>DWG NO: 05-300-365-0007,0008 &amp; 0009 REV. S-1,2,3 &amp; S-4 (DATED: 03&amp;04-05-2021)</t>
  </si>
  <si>
    <t>BOQ FOR VESSEL FOUNDATION (UNIT-0300)</t>
  </si>
  <si>
    <t>DWG NO: 05-300-365-0026,27,43 &amp; 0045 REV. S-2 &amp; S-3 (DATED: 03&amp;04-05-2021)</t>
  </si>
  <si>
    <t>THICK.</t>
  </si>
  <si>
    <t>BOQ FOR TOWER FOUNDATION (UNIT-0300)</t>
  </si>
  <si>
    <t>JOINT SEALANT</t>
  </si>
  <si>
    <t>R.m</t>
  </si>
  <si>
    <t>DRUM FOUNDATION SUMMARY</t>
  </si>
  <si>
    <t>VESSEL FOUNDATION SUMMARY</t>
  </si>
  <si>
    <t>TOWER FOUNDATION SUMMARY</t>
  </si>
  <si>
    <t>ASPHALT SAND LAYER</t>
  </si>
  <si>
    <t>DWG NO: 05-300-365-0024 &amp; 46 REV. S-1 &amp; 3 (DATED: 03 &amp; 06-05-2021)</t>
  </si>
  <si>
    <t>WELL GRADED SAND FILL INSIDE RINGWALL</t>
  </si>
  <si>
    <t>PCC 1:2:4</t>
  </si>
  <si>
    <t>TERMITE PROOFING OF RW FOUNDATION BOTH SIDES</t>
  </si>
  <si>
    <t>SURFACE PROTECTION COATING OUTSIDE</t>
  </si>
  <si>
    <t>ELOCK</t>
  </si>
  <si>
    <t>GEOMEMBRANE</t>
  </si>
  <si>
    <t>GRAVEL</t>
  </si>
  <si>
    <t>2 IN. SLEEVE FOR LEAK DETECTION</t>
  </si>
  <si>
    <t>kg</t>
  </si>
  <si>
    <t>SUBGRADE PREPARATION</t>
  </si>
  <si>
    <t>Ton</t>
  </si>
  <si>
    <t>=SUMIFS('1.PUMPS:2.DRUM'!C7:C30,allsum!C7,'1.PUMPS:2.DRUM'!D7:D30)</t>
  </si>
  <si>
    <t>done</t>
  </si>
  <si>
    <t>=SUMPRODUCT((SUMIFS(INDIRECT("'"&amp;I7:I8&amp;"'!"&amp;"D7:D30"),INDIRECT("'"&amp;I7:I8&amp;"'!"&amp;"C7:C30"),C7)))</t>
  </si>
  <si>
    <t>=SUMPRODUCT((SUMIF(INDIRECT("'"&amp;I7:I8&amp;"'!"&amp;"C7:C30"),C7,INDIRECT("'"&amp;I7:I8&amp;"'!"&amp;"D7:D30"))))</t>
  </si>
  <si>
    <t>STONE SOLING</t>
  </si>
  <si>
    <t>ISOLATION JOINT</t>
  </si>
  <si>
    <t>m</t>
  </si>
  <si>
    <t>BASE PLATE DEADMAN</t>
  </si>
  <si>
    <t>PUDDLE FLANGE MS PLATE</t>
  </si>
  <si>
    <t>PVC WATER STOPPER</t>
  </si>
  <si>
    <t>P-907A/B (HOR)</t>
  </si>
  <si>
    <t>GROUT ON TOP</t>
  </si>
  <si>
    <t>GROUT IN SKID</t>
  </si>
  <si>
    <t>M25</t>
  </si>
  <si>
    <t>-</t>
  </si>
  <si>
    <t>CC1:4:8</t>
  </si>
  <si>
    <t>FOOTING</t>
  </si>
  <si>
    <t>ISOTATION JOINT</t>
  </si>
  <si>
    <t>LPG BULLET FLOORING</t>
  </si>
  <si>
    <t>F1</t>
  </si>
  <si>
    <t>F2</t>
  </si>
  <si>
    <t>F1 BASE SIDE</t>
  </si>
  <si>
    <t>F1 BASE TOP</t>
  </si>
  <si>
    <t>F2 BASE SIDE</t>
  </si>
  <si>
    <t>F2 BASE TOP</t>
  </si>
  <si>
    <t>f1 &amp; f2</t>
  </si>
  <si>
    <t>COOLING TOWER</t>
  </si>
  <si>
    <t>OUTER WALL</t>
  </si>
  <si>
    <t>C1 &amp;C2</t>
  </si>
  <si>
    <t>PEDESTAL TOP</t>
  </si>
  <si>
    <t>ANCHOR POCKET</t>
  </si>
  <si>
    <t xml:space="preserve">COOLING TOWER </t>
  </si>
  <si>
    <t>PUDDLE FLANGE MS PIPE</t>
  </si>
  <si>
    <t>LENGTH</t>
  </si>
  <si>
    <t>s</t>
  </si>
  <si>
    <t>PUDDLE FLANGE MS PLATES</t>
  </si>
  <si>
    <t>WATER PROOF PLASTER</t>
  </si>
  <si>
    <t>COOLING TOWER  BASIN</t>
  </si>
  <si>
    <t>PADESTELS INSIDE BASIN</t>
  </si>
  <si>
    <t>PADESTELS SIDE DEDUCTION</t>
  </si>
  <si>
    <t>RCC 3000 PSI</t>
  </si>
  <si>
    <t>SAND FILL</t>
  </si>
  <si>
    <t>PUDDLE FLANGE MS PIPE 38</t>
  </si>
  <si>
    <t>PUDDLE FLANGE MS PIPE 50</t>
  </si>
  <si>
    <t>PUDDLE FLANGE MS PIPE 100</t>
  </si>
  <si>
    <t>PUDDLE FLANGE MS PIPE 150</t>
  </si>
  <si>
    <t>PUDDLE FLANGE MS PIPE 200</t>
  </si>
  <si>
    <t>PUDDLE FLANGE MS PIPE 250</t>
  </si>
  <si>
    <t>Sheet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</si>
</sst>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7" formatCode="0.0000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2"/>
    </font>
    <font>
      <b/>
      <sz val="11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79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3" fillId="0" borderId="0" xfId="0" applyFont="1" applyFill="1"/>
    <xf numFmtId="0" fontId="1" fillId="0" borderId="1" xfId="0" applyFont="1" applyFill="1" applyBorder="1"/>
    <xf numFmtId="0" fontId="3" fillId="0" borderId="1" xfId="0" applyFont="1" applyFill="1" applyBorder="1" applyAlignment="1">
      <alignment horizontal="left"/>
    </xf>
    <xf numFmtId="164" fontId="3" fillId="0" borderId="0" xfId="0" applyNumberFormat="1" applyFont="1" applyFill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center"/>
    </xf>
    <xf numFmtId="164" fontId="1" fillId="0" borderId="0" xfId="0" applyNumberFormat="1" applyFont="1" applyFill="1" applyBorder="1"/>
    <xf numFmtId="0" fontId="1" fillId="0" borderId="1" xfId="0" applyFont="1" applyFill="1" applyBorder="1" applyAlignment="1">
      <alignment horizontal="right"/>
    </xf>
    <xf numFmtId="164" fontId="1" fillId="0" borderId="1" xfId="0" applyNumberFormat="1" applyFont="1" applyFill="1" applyBorder="1"/>
    <xf numFmtId="0" fontId="3" fillId="0" borderId="0" xfId="0" applyFont="1" applyFill="1" applyBorder="1" applyAlignment="1">
      <alignment horizontal="left"/>
    </xf>
    <xf numFmtId="164" fontId="3" fillId="0" borderId="0" xfId="0" applyNumberFormat="1" applyFont="1" applyFill="1" applyBorder="1"/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7" fillId="0" borderId="0" xfId="0" applyFont="1" applyFill="1" applyAlignment="1"/>
    <xf numFmtId="0" fontId="5" fillId="0" borderId="0" xfId="0" applyFont="1" applyFill="1" applyAlignment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164" fontId="3" fillId="0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5" fontId="1" fillId="3" borderId="1" xfId="0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 vertical="center"/>
    </xf>
    <xf numFmtId="0" fontId="1" fillId="4" borderId="0" xfId="0" applyFont="1" applyFill="1"/>
    <xf numFmtId="0" fontId="1" fillId="4" borderId="1" xfId="0" applyFont="1" applyFill="1" applyBorder="1"/>
    <xf numFmtId="164" fontId="1" fillId="4" borderId="1" xfId="0" applyNumberFormat="1" applyFont="1" applyFill="1" applyBorder="1"/>
    <xf numFmtId="0" fontId="3" fillId="4" borderId="1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left"/>
    </xf>
    <xf numFmtId="0" fontId="1" fillId="4" borderId="0" xfId="0" applyFont="1" applyFill="1" applyBorder="1"/>
    <xf numFmtId="164" fontId="1" fillId="4" borderId="0" xfId="0" applyNumberFormat="1" applyFont="1" applyFill="1" applyBorder="1"/>
    <xf numFmtId="164" fontId="1" fillId="4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165" fontId="1" fillId="3" borderId="8" xfId="0" applyNumberFormat="1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3" fillId="0" borderId="0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vertical="center"/>
    </xf>
    <xf numFmtId="1" fontId="1" fillId="3" borderId="8" xfId="0" applyNumberFormat="1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65" fontId="3" fillId="4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2" borderId="13" xfId="0" applyFont="1" applyFill="1" applyBorder="1" applyAlignment="1"/>
    <xf numFmtId="0" fontId="6" fillId="2" borderId="15" xfId="0" applyFont="1" applyFill="1" applyBorder="1" applyAlignment="1"/>
    <xf numFmtId="0" fontId="6" fillId="2" borderId="4" xfId="0" applyFont="1" applyFill="1" applyBorder="1" applyAlignment="1"/>
    <xf numFmtId="0" fontId="3" fillId="0" borderId="19" xfId="0" applyFont="1" applyFill="1" applyBorder="1" applyAlignment="1">
      <alignment horizontal="center"/>
    </xf>
    <xf numFmtId="0" fontId="6" fillId="2" borderId="24" xfId="0" applyFont="1" applyFill="1" applyBorder="1" applyAlignment="1"/>
    <xf numFmtId="0" fontId="6" fillId="2" borderId="25" xfId="0" applyFont="1" applyFill="1" applyBorder="1" applyAlignment="1"/>
    <xf numFmtId="0" fontId="6" fillId="2" borderId="26" xfId="0" applyFont="1" applyFill="1" applyBorder="1" applyAlignment="1"/>
    <xf numFmtId="164" fontId="3" fillId="2" borderId="8" xfId="0" applyNumberFormat="1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wrapText="1"/>
    </xf>
    <xf numFmtId="0" fontId="0" fillId="0" borderId="0" xfId="0" quotePrefix="1"/>
    <xf numFmtId="0" fontId="0" fillId="0" borderId="0" xfId="0" applyAlignment="1">
      <alignment horizontal="right"/>
    </xf>
    <xf numFmtId="0" fontId="9" fillId="0" borderId="0" xfId="0" applyFont="1"/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2" fontId="1" fillId="6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left" vertical="center"/>
    </xf>
    <xf numFmtId="2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/>
    </xf>
    <xf numFmtId="0" fontId="1" fillId="6" borderId="1" xfId="0" applyFont="1" applyFill="1" applyBorder="1"/>
    <xf numFmtId="164" fontId="1" fillId="6" borderId="1" xfId="0" applyNumberFormat="1" applyFont="1" applyFill="1" applyBorder="1" applyAlignment="1">
      <alignment horizontal="center"/>
    </xf>
    <xf numFmtId="164" fontId="3" fillId="6" borderId="4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 vertical="top"/>
    </xf>
    <xf numFmtId="2" fontId="3" fillId="6" borderId="1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2" fontId="1" fillId="6" borderId="8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165" fontId="1" fillId="6" borderId="8" xfId="0" applyNumberFormat="1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1" fontId="1" fillId="6" borderId="8" xfId="0" applyNumberFormat="1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165" fontId="1" fillId="6" borderId="1" xfId="0" applyNumberFormat="1" applyFont="1" applyFill="1" applyBorder="1" applyAlignment="1"/>
    <xf numFmtId="164" fontId="1" fillId="6" borderId="4" xfId="0" applyNumberFormat="1" applyFont="1" applyFill="1" applyBorder="1" applyAlignment="1"/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2" fontId="1" fillId="6" borderId="13" xfId="0" applyNumberFormat="1" applyFont="1" applyFill="1" applyBorder="1" applyAlignment="1">
      <alignment horizontal="center" vertical="center"/>
    </xf>
    <xf numFmtId="2" fontId="1" fillId="6" borderId="4" xfId="0" applyNumberFormat="1" applyFont="1" applyFill="1" applyBorder="1" applyAlignment="1">
      <alignment horizontal="center" vertical="center"/>
    </xf>
    <xf numFmtId="167" fontId="1" fillId="6" borderId="13" xfId="0" applyNumberFormat="1" applyFont="1" applyFill="1" applyBorder="1" applyAlignment="1">
      <alignment horizontal="center"/>
    </xf>
    <xf numFmtId="167" fontId="1" fillId="6" borderId="4" xfId="0" applyNumberFormat="1" applyFont="1" applyFill="1" applyBorder="1" applyAlignment="1">
      <alignment horizontal="center"/>
    </xf>
    <xf numFmtId="165" fontId="1" fillId="6" borderId="13" xfId="0" applyNumberFormat="1" applyFont="1" applyFill="1" applyBorder="1" applyAlignment="1">
      <alignment horizontal="center"/>
    </xf>
    <xf numFmtId="165" fontId="1" fillId="6" borderId="4" xfId="0" applyNumberFormat="1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5"/>
  <sheetViews>
    <sheetView zoomScale="85" zoomScaleNormal="85" zoomScaleSheetLayoutView="100" workbookViewId="0">
      <selection activeCell="C23" sqref="C23"/>
    </sheetView>
  </sheetViews>
  <sheetFormatPr defaultRowHeight="15" x14ac:dyDescent="0.25"/>
  <cols>
    <col min="1" max="1" width="6" style="2" bestFit="1" customWidth="1"/>
    <col min="2" max="2" width="19.5703125" style="2" customWidth="1"/>
    <col min="3" max="3" width="36.28515625" style="2" customWidth="1"/>
    <col min="4" max="4" width="10.85546875" style="2" customWidth="1"/>
    <col min="5" max="5" width="9.28515625" style="2" bestFit="1" customWidth="1"/>
    <col min="6" max="6" width="12" style="2" bestFit="1" customWidth="1"/>
    <col min="7" max="8" width="9.28515625" style="2" bestFit="1" customWidth="1"/>
    <col min="9" max="9" width="7" style="2" bestFit="1" customWidth="1"/>
    <col min="10" max="10" width="12" style="2" bestFit="1" customWidth="1"/>
    <col min="11" max="11" width="0.85546875" style="2" customWidth="1"/>
    <col min="12" max="12" width="29.85546875" style="2" bestFit="1" customWidth="1"/>
    <col min="13" max="13" width="9.42578125" style="2" bestFit="1" customWidth="1"/>
    <col min="14" max="14" width="5.5703125" style="2" bestFit="1" customWidth="1"/>
    <col min="15" max="16384" width="9.140625" style="2"/>
  </cols>
  <sheetData>
    <row r="1" spans="1:11" ht="21" x14ac:dyDescent="0.35">
      <c r="A1" s="156" t="s">
        <v>39</v>
      </c>
      <c r="B1" s="156"/>
      <c r="C1" s="156"/>
      <c r="D1" s="156"/>
      <c r="E1" s="156"/>
      <c r="F1" s="156"/>
      <c r="G1" s="156"/>
      <c r="H1" s="156"/>
      <c r="I1" s="42"/>
      <c r="J1" s="42"/>
      <c r="K1" s="129"/>
    </row>
    <row r="2" spans="1:11" ht="21" x14ac:dyDescent="0.35">
      <c r="A2" s="157" t="s">
        <v>50</v>
      </c>
      <c r="B2" s="157"/>
      <c r="C2" s="157"/>
      <c r="D2" s="157"/>
      <c r="E2" s="157"/>
      <c r="F2" s="157"/>
      <c r="G2" s="157"/>
      <c r="H2" s="157"/>
      <c r="I2" s="43"/>
      <c r="J2" s="43"/>
      <c r="K2" s="30"/>
    </row>
    <row r="3" spans="1:11" ht="15" customHeight="1" x14ac:dyDescent="0.25">
      <c r="A3" s="158" t="s">
        <v>58</v>
      </c>
      <c r="B3" s="158"/>
      <c r="C3" s="158"/>
      <c r="D3" s="158"/>
      <c r="E3" s="158"/>
      <c r="F3" s="158"/>
      <c r="G3" s="158"/>
      <c r="H3" s="158"/>
    </row>
    <row r="4" spans="1:11" ht="15" customHeight="1" thickBot="1" x14ac:dyDescent="0.3">
      <c r="A4" s="7"/>
      <c r="B4" s="7"/>
      <c r="C4" s="7"/>
      <c r="D4" s="7"/>
      <c r="E4" s="7"/>
      <c r="F4" s="7"/>
      <c r="G4" s="7"/>
      <c r="H4" s="7"/>
    </row>
    <row r="5" spans="1:11" ht="15" customHeight="1" thickBot="1" x14ac:dyDescent="0.3">
      <c r="A5" s="7"/>
      <c r="B5" s="7"/>
      <c r="C5" s="159" t="s">
        <v>61</v>
      </c>
      <c r="D5" s="160"/>
      <c r="E5" s="161"/>
      <c r="F5" s="7"/>
      <c r="G5" s="7"/>
      <c r="H5" s="7"/>
    </row>
    <row r="6" spans="1:11" ht="15" customHeight="1" thickBot="1" x14ac:dyDescent="0.3">
      <c r="A6" s="7"/>
      <c r="B6" s="7"/>
      <c r="C6" s="123" t="s">
        <v>2</v>
      </c>
      <c r="D6" s="124" t="s">
        <v>62</v>
      </c>
      <c r="E6" s="125" t="s">
        <v>55</v>
      </c>
      <c r="F6" s="7"/>
      <c r="G6" s="7"/>
      <c r="H6" s="7"/>
    </row>
    <row r="7" spans="1:11" ht="15" customHeight="1" x14ac:dyDescent="0.25">
      <c r="A7" s="7"/>
      <c r="B7" s="7"/>
      <c r="C7" s="49" t="s">
        <v>0</v>
      </c>
      <c r="D7" s="95">
        <f>SUMIF($B$37:$B$116,C7,$H$37:$H$116)*1.1</f>
        <v>67.176734624999995</v>
      </c>
      <c r="E7" s="36" t="str">
        <f>INDEX($H$37:$H$116,MATCH(C7,$B$37:$B$116,0))</f>
        <v>(cu-m)</v>
      </c>
      <c r="F7" s="7"/>
      <c r="G7" s="7"/>
      <c r="H7" s="7"/>
    </row>
    <row r="8" spans="1:11" ht="15" customHeight="1" x14ac:dyDescent="0.25">
      <c r="A8" s="7"/>
      <c r="B8" s="7"/>
      <c r="C8" s="49" t="s">
        <v>37</v>
      </c>
      <c r="D8" s="95">
        <f>SUMIF($B$37:$B$116,C8,$H$37:$H$116)*1.1</f>
        <v>5.167441124999999</v>
      </c>
      <c r="E8" s="36" t="str">
        <f>INDEX($H$37:$H$116,MATCH(C8,$B$37:$B$116,0))</f>
        <v>(cu-m)</v>
      </c>
      <c r="F8" s="7"/>
      <c r="G8" s="7"/>
      <c r="H8" s="7"/>
    </row>
    <row r="9" spans="1:11" ht="15" customHeight="1" x14ac:dyDescent="0.25">
      <c r="A9" s="7"/>
      <c r="B9" s="7"/>
      <c r="C9" s="130" t="s">
        <v>32</v>
      </c>
      <c r="D9" s="51"/>
      <c r="E9" s="1"/>
      <c r="F9" s="7"/>
      <c r="G9" s="7"/>
      <c r="H9" s="7"/>
    </row>
    <row r="10" spans="1:11" ht="15" customHeight="1" x14ac:dyDescent="0.25">
      <c r="A10" s="7"/>
      <c r="B10" s="7"/>
      <c r="C10" s="33" t="s">
        <v>38</v>
      </c>
      <c r="D10" s="95">
        <f>SUMIF($B$37:$B$116,C10,$H$37:$H$116)*1.1</f>
        <v>67.943972249999987</v>
      </c>
      <c r="E10" s="36" t="str">
        <f>INDEX($H$37:$H$116,MATCH(C10,$B$37:$B$116,0))</f>
        <v>(cu-m)</v>
      </c>
      <c r="F10" s="7"/>
      <c r="G10" s="7"/>
      <c r="H10" s="7"/>
    </row>
    <row r="11" spans="1:11" ht="15" customHeight="1" x14ac:dyDescent="0.25">
      <c r="A11" s="7"/>
      <c r="B11" s="7"/>
      <c r="C11" s="33" t="s">
        <v>21</v>
      </c>
      <c r="D11" s="95">
        <f>SUMIF($B$37:$B$116,C11,$H$37:$H$116)*1.1</f>
        <v>138.90800000000002</v>
      </c>
      <c r="E11" s="36" t="str">
        <f>INDEX($H$37:$H$116,MATCH(C11,$B$37:$B$116,0))</f>
        <v>(Sq-m)</v>
      </c>
      <c r="F11" s="7"/>
      <c r="G11" s="7"/>
      <c r="H11" s="7"/>
    </row>
    <row r="12" spans="1:11" ht="15" customHeight="1" x14ac:dyDescent="0.25">
      <c r="A12" s="7"/>
      <c r="B12" s="7"/>
      <c r="C12" s="29" t="s">
        <v>12</v>
      </c>
      <c r="D12" s="95">
        <f>SUMIF($B$37:$B$116,C12,$H$37:$H$116)*1.1</f>
        <v>7.4738369474999997</v>
      </c>
      <c r="E12" s="36" t="str">
        <f>INDEX($H$37:$H$116,MATCH(C12,$B$37:$B$116,0))</f>
        <v>Ton</v>
      </c>
      <c r="F12" s="7"/>
      <c r="G12" s="7"/>
      <c r="H12" s="7"/>
    </row>
    <row r="13" spans="1:11" ht="15" customHeight="1" x14ac:dyDescent="0.25">
      <c r="A13" s="7"/>
      <c r="B13" s="7"/>
      <c r="C13" s="33"/>
      <c r="D13" s="95"/>
      <c r="E13" s="1"/>
      <c r="F13" s="7"/>
      <c r="G13" s="7"/>
      <c r="H13" s="7"/>
    </row>
    <row r="14" spans="1:11" ht="15" customHeight="1" x14ac:dyDescent="0.25">
      <c r="A14" s="7"/>
      <c r="B14" s="7"/>
      <c r="C14" s="33" t="s">
        <v>41</v>
      </c>
      <c r="D14" s="95">
        <f>SUMIF($B$37:$B$116,C14,$H$37:$H$116)*1.1</f>
        <v>10.472969429999999</v>
      </c>
      <c r="E14" s="36" t="str">
        <f>INDEX($H$37:$H$116,MATCH(C14,$B$37:$B$116,0))</f>
        <v>(cu-m)</v>
      </c>
      <c r="F14" s="7"/>
      <c r="G14" s="7"/>
      <c r="H14" s="7"/>
    </row>
    <row r="15" spans="1:11" ht="15" customHeight="1" x14ac:dyDescent="0.25">
      <c r="A15" s="7"/>
      <c r="B15" s="7"/>
      <c r="C15" s="33" t="s">
        <v>35</v>
      </c>
      <c r="D15" s="95">
        <f>SUMIF($B$37:$B$116,C15,$H$37:$H$116)*1.1</f>
        <v>462.00000000000006</v>
      </c>
      <c r="E15" s="36" t="str">
        <f>INDEX($H$37:$H$116,MATCH(C15,$B$37:$B$116,0))</f>
        <v>(kg)</v>
      </c>
      <c r="F15" s="7"/>
      <c r="G15" s="7"/>
      <c r="H15" s="7"/>
    </row>
    <row r="16" spans="1:11" ht="15" customHeight="1" x14ac:dyDescent="0.25">
      <c r="A16" s="7"/>
      <c r="B16" s="7"/>
      <c r="C16" s="7"/>
      <c r="D16" s="7"/>
      <c r="E16" s="7"/>
      <c r="F16" s="7"/>
      <c r="G16" s="7"/>
      <c r="H16" s="7"/>
    </row>
    <row r="17" spans="1:8" ht="15" customHeight="1" x14ac:dyDescent="0.25">
      <c r="A17" s="7"/>
      <c r="B17" s="7"/>
      <c r="C17" s="7"/>
      <c r="D17" s="7"/>
      <c r="E17" s="7"/>
      <c r="F17" s="7"/>
      <c r="G17" s="7"/>
      <c r="H17" s="7"/>
    </row>
    <row r="18" spans="1:8" ht="15" customHeight="1" x14ac:dyDescent="0.25">
      <c r="A18" s="7"/>
      <c r="B18" s="7"/>
      <c r="C18" s="7"/>
      <c r="D18" s="7"/>
      <c r="E18" s="7"/>
      <c r="F18" s="7"/>
      <c r="G18" s="7"/>
      <c r="H18" s="7"/>
    </row>
    <row r="19" spans="1:8" ht="15" customHeight="1" x14ac:dyDescent="0.25">
      <c r="A19" s="7"/>
      <c r="B19" s="7"/>
      <c r="C19" s="7"/>
      <c r="D19" s="7"/>
      <c r="E19" s="7"/>
      <c r="F19" s="7"/>
      <c r="G19" s="7"/>
      <c r="H19" s="7"/>
    </row>
    <row r="20" spans="1:8" ht="15" customHeight="1" x14ac:dyDescent="0.25">
      <c r="A20" s="7"/>
      <c r="B20" s="7"/>
      <c r="C20" s="7"/>
      <c r="D20" s="7"/>
      <c r="E20" s="7"/>
      <c r="F20" s="7"/>
      <c r="G20" s="7"/>
      <c r="H20" s="7"/>
    </row>
    <row r="21" spans="1:8" ht="15" customHeight="1" x14ac:dyDescent="0.25">
      <c r="A21" s="7"/>
      <c r="B21" s="7"/>
      <c r="C21" s="7"/>
      <c r="D21" s="7"/>
      <c r="E21" s="7"/>
      <c r="F21" s="7"/>
      <c r="G21" s="7"/>
      <c r="H21" s="7"/>
    </row>
    <row r="22" spans="1:8" ht="15" customHeight="1" x14ac:dyDescent="0.25">
      <c r="A22" s="7"/>
      <c r="B22" s="7"/>
      <c r="C22" s="7"/>
      <c r="D22" s="7"/>
      <c r="E22" s="7"/>
      <c r="F22" s="7"/>
      <c r="G22" s="7"/>
      <c r="H22" s="7"/>
    </row>
    <row r="23" spans="1:8" ht="15" customHeight="1" x14ac:dyDescent="0.25">
      <c r="A23" s="7"/>
      <c r="B23" s="7"/>
      <c r="C23" s="7"/>
      <c r="D23" s="7"/>
      <c r="E23" s="7"/>
      <c r="F23" s="7"/>
      <c r="G23" s="7"/>
      <c r="H23" s="7"/>
    </row>
    <row r="24" spans="1:8" ht="15" customHeight="1" x14ac:dyDescent="0.25">
      <c r="A24" s="7"/>
      <c r="B24" s="7"/>
      <c r="C24" s="7"/>
      <c r="D24" s="7"/>
      <c r="E24" s="7"/>
      <c r="F24" s="7"/>
      <c r="G24" s="7"/>
      <c r="H24" s="7"/>
    </row>
    <row r="25" spans="1:8" ht="15" customHeight="1" x14ac:dyDescent="0.25">
      <c r="A25" s="7"/>
      <c r="B25" s="7"/>
      <c r="C25" s="7"/>
      <c r="D25" s="7"/>
      <c r="E25" s="7"/>
      <c r="F25" s="7"/>
      <c r="G25" s="7"/>
      <c r="H25" s="7"/>
    </row>
    <row r="26" spans="1:8" ht="15" customHeight="1" x14ac:dyDescent="0.25">
      <c r="A26" s="7"/>
      <c r="B26" s="7"/>
      <c r="C26" s="7"/>
      <c r="D26" s="7"/>
      <c r="E26" s="7"/>
      <c r="F26" s="7"/>
      <c r="G26" s="7"/>
      <c r="H26" s="7"/>
    </row>
    <row r="27" spans="1:8" ht="15" customHeight="1" x14ac:dyDescent="0.25">
      <c r="A27" s="7"/>
      <c r="B27" s="7"/>
      <c r="C27" s="7"/>
      <c r="D27" s="7"/>
      <c r="E27" s="7"/>
      <c r="F27" s="7"/>
      <c r="G27" s="7"/>
      <c r="H27" s="7"/>
    </row>
    <row r="28" spans="1:8" ht="15" customHeight="1" x14ac:dyDescent="0.25">
      <c r="A28" s="7"/>
      <c r="B28" s="7"/>
      <c r="C28" s="7"/>
      <c r="D28" s="7"/>
      <c r="E28" s="7"/>
      <c r="F28" s="7"/>
      <c r="G28" s="7"/>
      <c r="H28" s="7"/>
    </row>
    <row r="29" spans="1:8" ht="15" customHeight="1" x14ac:dyDescent="0.25">
      <c r="A29" s="7"/>
      <c r="B29" s="7"/>
      <c r="C29" s="7"/>
      <c r="D29" s="7"/>
      <c r="E29" s="7"/>
      <c r="F29" s="7"/>
      <c r="G29" s="7"/>
      <c r="H29" s="7"/>
    </row>
    <row r="30" spans="1:8" ht="15" customHeight="1" x14ac:dyDescent="0.25">
      <c r="A30" s="7"/>
      <c r="B30" s="7"/>
      <c r="C30" s="7"/>
      <c r="D30" s="7"/>
      <c r="E30" s="7"/>
      <c r="F30" s="7"/>
      <c r="G30" s="7"/>
      <c r="H30" s="7"/>
    </row>
    <row r="31" spans="1:8" ht="15" customHeight="1" x14ac:dyDescent="0.25">
      <c r="A31" s="7"/>
      <c r="B31" s="7"/>
      <c r="C31" s="7"/>
      <c r="D31" s="7"/>
      <c r="E31" s="7"/>
      <c r="F31" s="7"/>
      <c r="G31" s="7"/>
      <c r="H31" s="7"/>
    </row>
    <row r="32" spans="1:8" ht="15" customHeight="1" x14ac:dyDescent="0.25">
      <c r="A32" s="7"/>
      <c r="B32" s="7"/>
      <c r="C32" s="7"/>
      <c r="D32" s="7"/>
      <c r="E32" s="7"/>
      <c r="F32" s="7"/>
      <c r="G32" s="7"/>
      <c r="H32" s="7"/>
    </row>
    <row r="33" spans="1:14" ht="15" customHeight="1" x14ac:dyDescent="0.25">
      <c r="A33" s="7"/>
      <c r="B33" s="7"/>
      <c r="C33" s="7"/>
      <c r="D33" s="7"/>
      <c r="E33" s="7"/>
      <c r="F33" s="7"/>
      <c r="G33" s="7"/>
      <c r="H33" s="7"/>
    </row>
    <row r="34" spans="1:14" ht="15" customHeight="1" x14ac:dyDescent="0.25">
      <c r="A34" s="7"/>
      <c r="B34" s="7"/>
      <c r="C34" s="7"/>
      <c r="D34" s="7"/>
      <c r="E34" s="7"/>
      <c r="F34" s="7"/>
      <c r="G34" s="7"/>
      <c r="H34" s="7"/>
    </row>
    <row r="35" spans="1:14" ht="15" customHeight="1" x14ac:dyDescent="0.25">
      <c r="A35" s="7"/>
      <c r="B35" s="7"/>
      <c r="C35" s="7"/>
      <c r="D35" s="7"/>
      <c r="E35" s="7"/>
      <c r="F35" s="7"/>
      <c r="G35" s="7"/>
      <c r="H35" s="7"/>
    </row>
    <row r="36" spans="1:14" ht="15" customHeight="1" x14ac:dyDescent="0.25">
      <c r="A36" s="7"/>
      <c r="B36" s="7"/>
      <c r="C36" s="7"/>
      <c r="D36" s="7"/>
      <c r="E36" s="7"/>
      <c r="F36" s="7"/>
      <c r="G36" s="7"/>
      <c r="H36" s="7"/>
    </row>
    <row r="37" spans="1:14" ht="19.5" customHeight="1" thickBot="1" x14ac:dyDescent="0.3">
      <c r="A37" s="118" t="s">
        <v>0</v>
      </c>
      <c r="B37" s="119"/>
      <c r="C37" s="119"/>
      <c r="D37" s="119"/>
      <c r="E37" s="119"/>
      <c r="F37" s="119"/>
      <c r="G37" s="119"/>
      <c r="H37" s="120"/>
    </row>
    <row r="38" spans="1:14" ht="15.75" thickBot="1" x14ac:dyDescent="0.3">
      <c r="A38" s="60" t="s">
        <v>1</v>
      </c>
      <c r="B38" s="117"/>
      <c r="C38" s="61" t="s">
        <v>2</v>
      </c>
      <c r="D38" s="61" t="s">
        <v>3</v>
      </c>
      <c r="E38" s="61" t="s">
        <v>33</v>
      </c>
      <c r="F38" s="61" t="s">
        <v>34</v>
      </c>
      <c r="G38" s="61" t="s">
        <v>5</v>
      </c>
      <c r="H38" s="62" t="s">
        <v>6</v>
      </c>
      <c r="L38" s="162" t="s">
        <v>61</v>
      </c>
      <c r="M38" s="163"/>
      <c r="N38" s="164"/>
    </row>
    <row r="39" spans="1:14" x14ac:dyDescent="0.25">
      <c r="A39" s="36"/>
      <c r="B39" s="131" t="s">
        <v>0</v>
      </c>
      <c r="C39" s="37"/>
      <c r="D39" s="36"/>
      <c r="E39" s="36" t="s">
        <v>7</v>
      </c>
      <c r="F39" s="36" t="s">
        <v>7</v>
      </c>
      <c r="G39" s="36" t="s">
        <v>7</v>
      </c>
      <c r="H39" s="36" t="s">
        <v>8</v>
      </c>
      <c r="L39" s="165"/>
      <c r="M39" s="166"/>
      <c r="N39" s="167"/>
    </row>
    <row r="40" spans="1:14" ht="15.75" thickBot="1" x14ac:dyDescent="0.3">
      <c r="A40" s="131">
        <v>1</v>
      </c>
      <c r="B40" s="131" t="s">
        <v>0</v>
      </c>
      <c r="C40" s="133" t="s">
        <v>100</v>
      </c>
      <c r="D40" s="131">
        <v>14</v>
      </c>
      <c r="E40" s="131">
        <f>2.655+0.15</f>
        <v>2.8049999999999997</v>
      </c>
      <c r="F40" s="131">
        <f>1.445+0.15</f>
        <v>1.595</v>
      </c>
      <c r="G40" s="131">
        <f t="shared" ref="G40" si="0">0.9+0.075</f>
        <v>0.97499999999999998</v>
      </c>
      <c r="H40" s="132">
        <f>D40*E40*F40*G40</f>
        <v>61.069758749999991</v>
      </c>
      <c r="I40" s="34"/>
      <c r="J40" s="35"/>
      <c r="L40" s="86" t="s">
        <v>2</v>
      </c>
      <c r="M40" s="87" t="s">
        <v>62</v>
      </c>
      <c r="N40" s="88" t="s">
        <v>55</v>
      </c>
    </row>
    <row r="41" spans="1:14" x14ac:dyDescent="0.25">
      <c r="A41" s="33"/>
      <c r="B41" s="33"/>
      <c r="C41" s="46"/>
      <c r="D41" s="33"/>
      <c r="E41" s="29"/>
      <c r="F41" s="29"/>
      <c r="G41" s="33"/>
      <c r="H41" s="48"/>
      <c r="I41" s="34"/>
      <c r="J41" s="35"/>
      <c r="L41" s="49" t="str">
        <f>A37</f>
        <v>EXCAVATION</v>
      </c>
      <c r="M41" s="95">
        <f>I52</f>
        <v>67.176734624999995</v>
      </c>
      <c r="N41" s="36" t="s">
        <v>20</v>
      </c>
    </row>
    <row r="42" spans="1:14" x14ac:dyDescent="0.25">
      <c r="A42" s="33"/>
      <c r="B42" s="33"/>
      <c r="C42" s="46"/>
      <c r="D42" s="33"/>
      <c r="E42" s="33"/>
      <c r="F42" s="33"/>
      <c r="G42" s="33"/>
      <c r="H42" s="48"/>
      <c r="I42" s="34"/>
      <c r="J42" s="35"/>
      <c r="L42" s="33" t="str">
        <f>A54</f>
        <v>CC 1 : 4 : 8</v>
      </c>
      <c r="M42" s="55">
        <f>I59</f>
        <v>5.167441124999999</v>
      </c>
      <c r="N42" s="1" t="s">
        <v>20</v>
      </c>
    </row>
    <row r="43" spans="1:14" x14ac:dyDescent="0.25">
      <c r="A43" s="33"/>
      <c r="B43" s="33"/>
      <c r="C43" s="46"/>
      <c r="D43" s="33"/>
      <c r="E43" s="49"/>
      <c r="F43" s="49"/>
      <c r="G43" s="33"/>
      <c r="H43" s="48"/>
      <c r="L43" s="130" t="s">
        <v>32</v>
      </c>
      <c r="M43" s="51"/>
      <c r="N43" s="1"/>
    </row>
    <row r="44" spans="1:14" x14ac:dyDescent="0.25">
      <c r="A44" s="33"/>
      <c r="B44" s="33"/>
      <c r="C44" s="46"/>
      <c r="D44" s="33"/>
      <c r="E44" s="40"/>
      <c r="F44" s="40"/>
      <c r="G44" s="33"/>
      <c r="H44" s="48"/>
      <c r="L44" s="33" t="str">
        <f>A61</f>
        <v>RCC 3750 PSI</v>
      </c>
      <c r="M44" s="55">
        <f>I67</f>
        <v>67.943972249999987</v>
      </c>
      <c r="N44" s="1" t="s">
        <v>20</v>
      </c>
    </row>
    <row r="45" spans="1:14" x14ac:dyDescent="0.25">
      <c r="A45" s="33"/>
      <c r="B45" s="33"/>
      <c r="C45" s="46"/>
      <c r="D45" s="33"/>
      <c r="E45" s="33"/>
      <c r="F45" s="33"/>
      <c r="G45" s="49"/>
      <c r="H45" s="48"/>
      <c r="L45" s="33" t="str">
        <f>A69</f>
        <v>BITUMEN COATING</v>
      </c>
      <c r="M45" s="55">
        <f>I76</f>
        <v>138.90800000000002</v>
      </c>
      <c r="N45" s="1" t="s">
        <v>26</v>
      </c>
    </row>
    <row r="46" spans="1:14" x14ac:dyDescent="0.25">
      <c r="A46" s="33"/>
      <c r="B46" s="33"/>
      <c r="C46" s="46"/>
      <c r="D46" s="33"/>
      <c r="E46" s="56"/>
      <c r="F46" s="56"/>
      <c r="G46" s="29"/>
      <c r="H46" s="48"/>
      <c r="L46" s="29" t="str">
        <f>A78</f>
        <v>REINFORCEMENT</v>
      </c>
      <c r="M46" s="52">
        <f>I84</f>
        <v>7.4738369474999997</v>
      </c>
      <c r="N46" s="12" t="s">
        <v>25</v>
      </c>
    </row>
    <row r="47" spans="1:14" s="10" customFormat="1" x14ac:dyDescent="0.25">
      <c r="A47" s="33"/>
      <c r="B47" s="33"/>
      <c r="C47" s="46"/>
      <c r="D47" s="33"/>
      <c r="E47" s="29"/>
      <c r="F47" s="29"/>
      <c r="G47" s="29"/>
      <c r="H47" s="48"/>
      <c r="J47" s="31"/>
      <c r="K47" s="31"/>
      <c r="L47" s="33" t="str">
        <f>A87</f>
        <v>SURFACE PROTECTION COATING</v>
      </c>
      <c r="M47" s="52">
        <f>I92</f>
        <v>0</v>
      </c>
      <c r="N47" s="1" t="s">
        <v>26</v>
      </c>
    </row>
    <row r="48" spans="1:14" x14ac:dyDescent="0.25">
      <c r="A48" s="33"/>
      <c r="B48" s="33"/>
      <c r="C48" s="46"/>
      <c r="D48" s="33"/>
      <c r="E48" s="29"/>
      <c r="F48" s="29"/>
      <c r="G48" s="58"/>
      <c r="H48" s="48"/>
      <c r="L48" s="33" t="str">
        <f>A94</f>
        <v>CEMENTITIOUS GROUT G1</v>
      </c>
      <c r="M48" s="54">
        <f>I101</f>
        <v>10.472969429999999</v>
      </c>
      <c r="N48" s="1" t="s">
        <v>20</v>
      </c>
    </row>
    <row r="49" spans="1:14" x14ac:dyDescent="0.25">
      <c r="A49" s="33"/>
      <c r="B49" s="33"/>
      <c r="C49" s="46"/>
      <c r="D49" s="33"/>
      <c r="E49" s="56"/>
      <c r="F49" s="56"/>
      <c r="G49" s="29"/>
      <c r="H49" s="48"/>
      <c r="L49" s="33" t="str">
        <f>A103</f>
        <v>EPOXY GROUT G2</v>
      </c>
      <c r="M49" s="54">
        <f>I108</f>
        <v>0</v>
      </c>
      <c r="N49" s="1" t="s">
        <v>20</v>
      </c>
    </row>
    <row r="50" spans="1:14" x14ac:dyDescent="0.25">
      <c r="A50" s="33"/>
      <c r="B50" s="33"/>
      <c r="C50" s="46"/>
      <c r="D50" s="33"/>
      <c r="E50" s="56"/>
      <c r="F50" s="56"/>
      <c r="G50" s="33"/>
      <c r="H50" s="48"/>
      <c r="L50" s="33" t="str">
        <f>A110</f>
        <v>ANCHOR BOLTS</v>
      </c>
      <c r="M50" s="55">
        <f>I117</f>
        <v>462.00000000000006</v>
      </c>
      <c r="N50" s="1" t="s">
        <v>36</v>
      </c>
    </row>
    <row r="51" spans="1:14" x14ac:dyDescent="0.25">
      <c r="A51" s="1"/>
      <c r="B51" s="1"/>
      <c r="C51" s="5"/>
      <c r="D51" s="1"/>
      <c r="E51" s="4"/>
      <c r="F51" s="4"/>
      <c r="G51" s="4"/>
      <c r="H51" s="15"/>
    </row>
    <row r="52" spans="1:14" x14ac:dyDescent="0.25">
      <c r="A52" s="7"/>
      <c r="B52" s="7"/>
      <c r="C52" s="16"/>
      <c r="D52" s="7"/>
      <c r="E52" s="11"/>
      <c r="F52" s="11"/>
      <c r="G52" s="11"/>
      <c r="H52" s="13"/>
      <c r="I52" s="142">
        <f>SUM(H40:H51)*1.1</f>
        <v>67.176734624999995</v>
      </c>
      <c r="J52" s="19" t="s">
        <v>19</v>
      </c>
      <c r="K52" s="3"/>
      <c r="L52" s="7"/>
      <c r="M52" s="91"/>
      <c r="N52" s="7"/>
    </row>
    <row r="53" spans="1:14" x14ac:dyDescent="0.25">
      <c r="A53" s="7"/>
      <c r="B53" s="7"/>
      <c r="C53" s="16"/>
      <c r="D53" s="7"/>
      <c r="E53" s="11"/>
      <c r="F53" s="11"/>
      <c r="G53" s="11"/>
      <c r="H53" s="13"/>
      <c r="I53" s="6"/>
      <c r="J53" s="3"/>
      <c r="K53" s="3"/>
      <c r="L53" s="7"/>
      <c r="M53" s="91"/>
      <c r="N53" s="7"/>
    </row>
    <row r="54" spans="1:14" ht="15.75" x14ac:dyDescent="0.25">
      <c r="A54" s="114" t="s">
        <v>37</v>
      </c>
      <c r="B54" s="115"/>
      <c r="C54" s="115"/>
      <c r="D54" s="115"/>
      <c r="E54" s="115"/>
      <c r="F54" s="115"/>
      <c r="G54" s="115"/>
      <c r="H54" s="116"/>
      <c r="L54" s="7"/>
      <c r="M54" s="91"/>
      <c r="N54" s="7"/>
    </row>
    <row r="55" spans="1:14" x14ac:dyDescent="0.25">
      <c r="A55" s="1" t="s">
        <v>1</v>
      </c>
      <c r="B55" s="1"/>
      <c r="C55" s="1" t="s">
        <v>2</v>
      </c>
      <c r="D55" s="1" t="s">
        <v>3</v>
      </c>
      <c r="E55" s="1" t="s">
        <v>4</v>
      </c>
      <c r="F55" s="1" t="s">
        <v>13</v>
      </c>
      <c r="G55" s="1" t="s">
        <v>5</v>
      </c>
      <c r="H55" s="1" t="s">
        <v>6</v>
      </c>
      <c r="L55" s="7"/>
      <c r="M55" s="92"/>
      <c r="N55" s="7"/>
    </row>
    <row r="56" spans="1:14" x14ac:dyDescent="0.25">
      <c r="A56" s="1"/>
      <c r="B56" s="131" t="s">
        <v>37</v>
      </c>
      <c r="C56" s="1"/>
      <c r="D56" s="1"/>
      <c r="E56" s="1" t="s">
        <v>7</v>
      </c>
      <c r="F56" s="1" t="s">
        <v>7</v>
      </c>
      <c r="G56" s="1" t="s">
        <v>7</v>
      </c>
      <c r="H56" s="1" t="s">
        <v>8</v>
      </c>
      <c r="L56" s="7"/>
    </row>
    <row r="57" spans="1:14" x14ac:dyDescent="0.25">
      <c r="A57" s="131">
        <v>1</v>
      </c>
      <c r="B57" s="131" t="s">
        <v>37</v>
      </c>
      <c r="C57" s="133" t="str">
        <f t="shared" ref="C57:F57" si="1">C40</f>
        <v>P-907A/B (HOR)</v>
      </c>
      <c r="D57" s="131">
        <f t="shared" si="1"/>
        <v>14</v>
      </c>
      <c r="E57" s="131">
        <f t="shared" si="1"/>
        <v>2.8049999999999997</v>
      </c>
      <c r="F57" s="131">
        <f t="shared" si="1"/>
        <v>1.595</v>
      </c>
      <c r="G57" s="131">
        <v>7.4999999999999997E-2</v>
      </c>
      <c r="H57" s="132">
        <f>D57*E57*F57*G57</f>
        <v>4.697673749999999</v>
      </c>
      <c r="J57" s="11"/>
      <c r="K57" s="11"/>
      <c r="L57" s="13"/>
    </row>
    <row r="58" spans="1:14" x14ac:dyDescent="0.25">
      <c r="A58" s="33"/>
      <c r="B58" s="33"/>
      <c r="C58" s="45"/>
      <c r="D58" s="40"/>
      <c r="E58" s="29"/>
      <c r="F58" s="29"/>
      <c r="G58" s="29"/>
      <c r="H58" s="48"/>
      <c r="J58" s="11"/>
      <c r="K58" s="11"/>
      <c r="L58" s="13"/>
    </row>
    <row r="59" spans="1:14" x14ac:dyDescent="0.25">
      <c r="A59" s="7"/>
      <c r="B59" s="7"/>
      <c r="C59" s="16"/>
      <c r="D59" s="7"/>
      <c r="E59" s="11"/>
      <c r="F59" s="11"/>
      <c r="G59" s="11"/>
      <c r="H59" s="13"/>
      <c r="I59" s="142">
        <f>SUM(H57:H58)*1.1</f>
        <v>5.167441124999999</v>
      </c>
      <c r="J59" s="19" t="s">
        <v>37</v>
      </c>
    </row>
    <row r="60" spans="1:14" x14ac:dyDescent="0.25">
      <c r="A60" s="7"/>
      <c r="B60" s="7"/>
      <c r="C60" s="16"/>
      <c r="D60" s="7"/>
      <c r="E60" s="11"/>
      <c r="F60" s="11"/>
      <c r="G60" s="11"/>
      <c r="H60" s="13"/>
      <c r="M60" s="8"/>
    </row>
    <row r="61" spans="1:14" ht="15.75" x14ac:dyDescent="0.25">
      <c r="A61" s="114" t="s">
        <v>38</v>
      </c>
      <c r="B61" s="115"/>
      <c r="C61" s="115"/>
      <c r="D61" s="115"/>
      <c r="E61" s="115"/>
      <c r="F61" s="115"/>
      <c r="G61" s="115"/>
      <c r="H61" s="116"/>
      <c r="I61" s="11"/>
    </row>
    <row r="62" spans="1:14" x14ac:dyDescent="0.25">
      <c r="A62" s="1" t="s">
        <v>1</v>
      </c>
      <c r="B62" s="1"/>
      <c r="C62" s="1" t="s">
        <v>2</v>
      </c>
      <c r="D62" s="1" t="s">
        <v>3</v>
      </c>
      <c r="E62" s="1" t="s">
        <v>4</v>
      </c>
      <c r="F62" s="1" t="s">
        <v>13</v>
      </c>
      <c r="G62" s="1" t="s">
        <v>5</v>
      </c>
      <c r="H62" s="1" t="s">
        <v>6</v>
      </c>
      <c r="I62" s="11"/>
    </row>
    <row r="63" spans="1:14" x14ac:dyDescent="0.25">
      <c r="A63" s="1"/>
      <c r="B63" s="131" t="s">
        <v>38</v>
      </c>
      <c r="C63" s="12"/>
      <c r="D63" s="12"/>
      <c r="E63" s="12" t="s">
        <v>7</v>
      </c>
      <c r="F63" s="12" t="s">
        <v>7</v>
      </c>
      <c r="G63" s="12" t="s">
        <v>7</v>
      </c>
      <c r="H63" s="12" t="s">
        <v>8</v>
      </c>
      <c r="I63" s="11"/>
    </row>
    <row r="64" spans="1:14" x14ac:dyDescent="0.25">
      <c r="A64" s="131">
        <v>1</v>
      </c>
      <c r="B64" s="131" t="s">
        <v>38</v>
      </c>
      <c r="C64" s="133" t="str">
        <f>C40</f>
        <v>P-907A/B (HOR)</v>
      </c>
      <c r="D64" s="131">
        <f>D40</f>
        <v>14</v>
      </c>
      <c r="E64" s="131">
        <f>E40-0.15</f>
        <v>2.6549999999999998</v>
      </c>
      <c r="F64" s="131">
        <f>F40-0.15</f>
        <v>1.4450000000000001</v>
      </c>
      <c r="G64" s="131">
        <f t="shared" ref="G64" si="2">0.9+0.3-0.05</f>
        <v>1.1499999999999999</v>
      </c>
      <c r="H64" s="134">
        <f>D64*E64*F64*G64</f>
        <v>61.767247499999989</v>
      </c>
      <c r="I64" s="11"/>
    </row>
    <row r="65" spans="1:11" x14ac:dyDescent="0.25">
      <c r="A65" s="33"/>
      <c r="B65" s="33"/>
      <c r="C65" s="57"/>
      <c r="D65" s="33"/>
      <c r="E65" s="63"/>
      <c r="F65" s="33"/>
      <c r="G65" s="38"/>
      <c r="H65" s="50"/>
      <c r="I65" s="11"/>
    </row>
    <row r="66" spans="1:11" x14ac:dyDescent="0.25">
      <c r="A66" s="33"/>
      <c r="B66" s="33"/>
      <c r="C66" s="57"/>
      <c r="D66" s="33"/>
      <c r="E66" s="63"/>
      <c r="F66" s="33"/>
      <c r="G66" s="33"/>
      <c r="H66" s="50"/>
      <c r="I66" s="11"/>
    </row>
    <row r="67" spans="1:11" x14ac:dyDescent="0.25">
      <c r="A67" s="7"/>
      <c r="B67" s="7"/>
      <c r="C67" s="16"/>
      <c r="D67" s="7"/>
      <c r="E67" s="11"/>
      <c r="F67" s="11"/>
      <c r="G67" s="11"/>
      <c r="H67" s="13"/>
      <c r="I67" s="141">
        <f>SUM(H64:H67)*1.1</f>
        <v>67.943972249999987</v>
      </c>
      <c r="J67" s="20" t="s">
        <v>38</v>
      </c>
      <c r="K67" s="3"/>
    </row>
    <row r="68" spans="1:11" x14ac:dyDescent="0.25">
      <c r="A68" s="7"/>
      <c r="B68" s="7"/>
      <c r="C68" s="16"/>
      <c r="D68" s="7"/>
      <c r="E68" s="11"/>
      <c r="F68" s="11"/>
      <c r="G68" s="11"/>
      <c r="H68" s="13"/>
      <c r="I68" s="17"/>
      <c r="J68" s="3"/>
      <c r="K68" s="3"/>
    </row>
    <row r="69" spans="1:11" ht="15.75" x14ac:dyDescent="0.25">
      <c r="A69" s="114" t="s">
        <v>21</v>
      </c>
      <c r="B69" s="115"/>
      <c r="C69" s="115"/>
      <c r="D69" s="115"/>
      <c r="E69" s="115"/>
      <c r="F69" s="115"/>
      <c r="G69" s="115"/>
      <c r="H69" s="116"/>
      <c r="I69" s="3"/>
      <c r="J69" s="3"/>
      <c r="K69" s="3"/>
    </row>
    <row r="70" spans="1:11" x14ac:dyDescent="0.25">
      <c r="A70" s="1" t="s">
        <v>1</v>
      </c>
      <c r="B70" s="1"/>
      <c r="C70" s="1" t="s">
        <v>2</v>
      </c>
      <c r="D70" s="1" t="s">
        <v>3</v>
      </c>
      <c r="E70" s="1" t="s">
        <v>4</v>
      </c>
      <c r="F70" s="1" t="s">
        <v>13</v>
      </c>
      <c r="G70" s="1" t="s">
        <v>5</v>
      </c>
      <c r="H70" s="1" t="s">
        <v>6</v>
      </c>
      <c r="I70" s="3"/>
      <c r="J70" s="3"/>
      <c r="K70" s="3"/>
    </row>
    <row r="71" spans="1:11" x14ac:dyDescent="0.25">
      <c r="A71" s="1"/>
      <c r="B71" s="131" t="s">
        <v>21</v>
      </c>
      <c r="C71" s="1"/>
      <c r="D71" s="1"/>
      <c r="E71" s="1" t="s">
        <v>7</v>
      </c>
      <c r="F71" s="1" t="s">
        <v>7</v>
      </c>
      <c r="G71" s="1" t="s">
        <v>7</v>
      </c>
      <c r="H71" s="1" t="s">
        <v>22</v>
      </c>
      <c r="I71" s="3"/>
      <c r="J71" s="3"/>
      <c r="K71" s="3"/>
    </row>
    <row r="72" spans="1:11" x14ac:dyDescent="0.25">
      <c r="A72" s="1"/>
      <c r="B72" s="1"/>
      <c r="C72" s="39"/>
      <c r="D72" s="12"/>
      <c r="E72" s="12"/>
      <c r="F72" s="12"/>
      <c r="G72" s="12"/>
      <c r="H72" s="12"/>
      <c r="I72" s="3"/>
      <c r="J72" s="3"/>
      <c r="K72" s="3"/>
    </row>
    <row r="73" spans="1:11" x14ac:dyDescent="0.25">
      <c r="A73" s="131">
        <v>1</v>
      </c>
      <c r="B73" s="131" t="s">
        <v>21</v>
      </c>
      <c r="C73" s="136" t="str">
        <f t="shared" ref="C73:D73" si="3">C40</f>
        <v>P-907A/B (HOR)</v>
      </c>
      <c r="D73" s="131">
        <f t="shared" si="3"/>
        <v>14</v>
      </c>
      <c r="E73" s="135">
        <v>8.1999999999999993</v>
      </c>
      <c r="F73" s="135"/>
      <c r="G73" s="135">
        <f t="shared" ref="G73" si="4">0.15+0.9+0.05</f>
        <v>1.1000000000000001</v>
      </c>
      <c r="H73" s="132">
        <f>G73*E73*D73</f>
        <v>126.28</v>
      </c>
      <c r="I73" s="3"/>
      <c r="J73" s="3"/>
      <c r="K73" s="3"/>
    </row>
    <row r="74" spans="1:11" x14ac:dyDescent="0.25">
      <c r="A74" s="33"/>
      <c r="B74" s="33"/>
      <c r="C74" s="44"/>
      <c r="D74" s="33"/>
      <c r="E74" s="84"/>
      <c r="F74" s="29"/>
      <c r="G74" s="50"/>
      <c r="H74" s="48"/>
      <c r="I74" s="3"/>
      <c r="J74" s="3"/>
      <c r="K74" s="3"/>
    </row>
    <row r="75" spans="1:11" x14ac:dyDescent="0.25">
      <c r="A75" s="33"/>
      <c r="B75" s="33"/>
      <c r="C75" s="44"/>
      <c r="D75" s="33"/>
      <c r="E75" s="29"/>
      <c r="F75" s="29"/>
      <c r="G75" s="29"/>
      <c r="H75" s="48"/>
      <c r="I75" s="3"/>
      <c r="J75" s="3"/>
      <c r="K75" s="3"/>
    </row>
    <row r="76" spans="1:11" x14ac:dyDescent="0.25">
      <c r="A76" s="1"/>
      <c r="B76" s="1"/>
      <c r="C76" s="5"/>
      <c r="D76" s="1"/>
      <c r="E76" s="14"/>
      <c r="F76" s="14"/>
      <c r="G76" s="1"/>
      <c r="H76" s="1"/>
      <c r="I76" s="140">
        <f>SUM(H72:H76)*1.1</f>
        <v>138.90800000000002</v>
      </c>
      <c r="J76" s="53" t="s">
        <v>23</v>
      </c>
      <c r="K76" s="3"/>
    </row>
    <row r="77" spans="1:11" x14ac:dyDescent="0.25">
      <c r="A77" s="21"/>
      <c r="B77" s="21"/>
      <c r="C77" s="22"/>
      <c r="D77" s="21"/>
      <c r="E77" s="23"/>
      <c r="F77" s="23"/>
      <c r="G77" s="21"/>
      <c r="H77" s="21"/>
      <c r="I77" s="3"/>
      <c r="J77" s="3"/>
      <c r="K77" s="3"/>
    </row>
    <row r="78" spans="1:11" ht="15.75" x14ac:dyDescent="0.25">
      <c r="A78" s="114" t="s">
        <v>12</v>
      </c>
      <c r="B78" s="115"/>
      <c r="C78" s="115"/>
      <c r="D78" s="115"/>
      <c r="E78" s="115"/>
      <c r="F78" s="115"/>
      <c r="G78" s="115"/>
      <c r="H78" s="116"/>
    </row>
    <row r="79" spans="1:11" x14ac:dyDescent="0.25">
      <c r="A79" s="1" t="s">
        <v>1</v>
      </c>
      <c r="B79" s="1"/>
      <c r="C79" s="1" t="s">
        <v>2</v>
      </c>
      <c r="D79" s="1" t="s">
        <v>3</v>
      </c>
      <c r="E79" s="1" t="s">
        <v>14</v>
      </c>
      <c r="F79" s="1" t="s">
        <v>9</v>
      </c>
      <c r="G79" s="1" t="s">
        <v>10</v>
      </c>
      <c r="H79" s="1" t="s">
        <v>10</v>
      </c>
    </row>
    <row r="80" spans="1:11" x14ac:dyDescent="0.25">
      <c r="A80" s="1"/>
      <c r="B80" s="131" t="s">
        <v>12</v>
      </c>
      <c r="C80" s="1"/>
      <c r="D80" s="1"/>
      <c r="E80" s="1" t="s">
        <v>15</v>
      </c>
      <c r="F80" s="1" t="s">
        <v>16</v>
      </c>
      <c r="G80" s="1" t="s">
        <v>11</v>
      </c>
      <c r="H80" s="12" t="s">
        <v>89</v>
      </c>
    </row>
    <row r="81" spans="1:12" x14ac:dyDescent="0.25">
      <c r="A81" s="1"/>
      <c r="B81" s="1"/>
      <c r="C81" s="5" t="s">
        <v>12</v>
      </c>
      <c r="D81" s="1"/>
      <c r="E81" s="1"/>
      <c r="F81" s="1"/>
      <c r="G81" s="1"/>
      <c r="H81" s="1"/>
    </row>
    <row r="82" spans="1:12" x14ac:dyDescent="0.25">
      <c r="A82" s="131"/>
      <c r="B82" s="131" t="s">
        <v>12</v>
      </c>
      <c r="C82" s="137" t="s">
        <v>40</v>
      </c>
      <c r="D82" s="131"/>
      <c r="E82" s="138">
        <f>I67</f>
        <v>67.943972249999987</v>
      </c>
      <c r="F82" s="131">
        <v>100</v>
      </c>
      <c r="G82" s="131">
        <f>E82*F82</f>
        <v>6794.3972249999988</v>
      </c>
      <c r="H82" s="131">
        <f>G82/1000</f>
        <v>6.7943972249999991</v>
      </c>
      <c r="I82" s="9"/>
      <c r="J82" s="9"/>
    </row>
    <row r="83" spans="1:12" x14ac:dyDescent="0.25">
      <c r="A83" s="1"/>
      <c r="B83" s="1"/>
      <c r="C83" s="4"/>
      <c r="D83" s="1"/>
      <c r="E83" s="25"/>
      <c r="F83" s="1"/>
      <c r="G83" s="1"/>
      <c r="H83" s="1"/>
      <c r="I83" s="9"/>
      <c r="J83" s="9"/>
    </row>
    <row r="84" spans="1:12" x14ac:dyDescent="0.25">
      <c r="A84" s="4"/>
      <c r="B84" s="4"/>
      <c r="C84" s="4"/>
      <c r="D84" s="130" t="s">
        <v>18</v>
      </c>
      <c r="E84" s="47">
        <f>SUM(E82:E83)</f>
        <v>67.943972249999987</v>
      </c>
      <c r="F84" s="1"/>
      <c r="G84" s="130">
        <f>SUM(G82:G83)</f>
        <v>6794.3972249999988</v>
      </c>
      <c r="H84" s="130">
        <f>SUM(H82:H83)</f>
        <v>6.7943972249999991</v>
      </c>
      <c r="I84" s="139">
        <f>H84*1.1</f>
        <v>7.4738369474999997</v>
      </c>
      <c r="J84" s="53" t="s">
        <v>24</v>
      </c>
    </row>
    <row r="85" spans="1:12" x14ac:dyDescent="0.25">
      <c r="A85" s="11"/>
      <c r="B85" s="11"/>
      <c r="C85" s="11"/>
      <c r="D85" s="11"/>
      <c r="E85" s="11"/>
      <c r="F85" s="41" t="s">
        <v>17</v>
      </c>
      <c r="G85" s="41">
        <f>H84*1000/E84</f>
        <v>100</v>
      </c>
      <c r="H85" s="11"/>
    </row>
    <row r="86" spans="1:12" x14ac:dyDescent="0.25">
      <c r="A86" s="7"/>
      <c r="B86" s="7"/>
      <c r="C86" s="7"/>
      <c r="D86" s="7"/>
      <c r="E86" s="7"/>
      <c r="F86" s="7"/>
      <c r="G86" s="7"/>
      <c r="H86" s="7"/>
      <c r="I86" s="7"/>
      <c r="J86" s="9"/>
    </row>
    <row r="87" spans="1:12" ht="15.75" x14ac:dyDescent="0.25">
      <c r="A87" s="114" t="s">
        <v>59</v>
      </c>
      <c r="B87" s="115"/>
      <c r="C87" s="115"/>
      <c r="D87" s="115"/>
      <c r="E87" s="115"/>
      <c r="F87" s="115"/>
      <c r="G87" s="115"/>
      <c r="H87" s="116"/>
      <c r="I87" s="9"/>
      <c r="J87" s="9"/>
    </row>
    <row r="88" spans="1:12" x14ac:dyDescent="0.25">
      <c r="A88" s="1" t="s">
        <v>1</v>
      </c>
      <c r="B88" s="1"/>
      <c r="C88" s="1" t="s">
        <v>2</v>
      </c>
      <c r="D88" s="1" t="s">
        <v>3</v>
      </c>
      <c r="E88" s="1" t="s">
        <v>4</v>
      </c>
      <c r="F88" s="1" t="s">
        <v>13</v>
      </c>
      <c r="G88" s="1" t="s">
        <v>5</v>
      </c>
      <c r="H88" s="1" t="s">
        <v>6</v>
      </c>
      <c r="I88" s="9"/>
      <c r="J88" s="9"/>
    </row>
    <row r="89" spans="1:12" x14ac:dyDescent="0.25">
      <c r="A89" s="1"/>
      <c r="B89" s="1"/>
      <c r="C89" s="1"/>
      <c r="D89" s="1"/>
      <c r="E89" s="1" t="s">
        <v>7</v>
      </c>
      <c r="F89" s="1" t="s">
        <v>7</v>
      </c>
      <c r="G89" s="1" t="s">
        <v>7</v>
      </c>
      <c r="H89" s="1" t="s">
        <v>22</v>
      </c>
      <c r="I89" s="9"/>
      <c r="J89" s="9"/>
    </row>
    <row r="90" spans="1:12" x14ac:dyDescent="0.25">
      <c r="A90" s="33"/>
      <c r="B90" s="33"/>
      <c r="C90" s="46"/>
      <c r="D90" s="29"/>
      <c r="E90" s="29"/>
      <c r="F90" s="29"/>
      <c r="G90" s="29"/>
      <c r="H90" s="48"/>
      <c r="I90" s="9"/>
      <c r="J90" s="9"/>
    </row>
    <row r="91" spans="1:12" x14ac:dyDescent="0.25">
      <c r="A91" s="33"/>
      <c r="B91" s="33"/>
      <c r="C91" s="46"/>
      <c r="D91" s="29"/>
      <c r="E91" s="29"/>
      <c r="F91" s="33"/>
      <c r="G91" s="33"/>
      <c r="H91" s="48"/>
      <c r="I91" s="9"/>
      <c r="J91" s="9"/>
    </row>
    <row r="92" spans="1:12" x14ac:dyDescent="0.25">
      <c r="A92" s="1"/>
      <c r="B92" s="1"/>
      <c r="C92" s="130"/>
      <c r="D92" s="1"/>
      <c r="E92" s="1"/>
      <c r="F92" s="1"/>
      <c r="G92" s="1"/>
      <c r="H92" s="25"/>
      <c r="I92" s="55">
        <f>SUM(H90:H91)</f>
        <v>0</v>
      </c>
      <c r="J92" s="53" t="s">
        <v>60</v>
      </c>
      <c r="L92" s="3"/>
    </row>
    <row r="93" spans="1:12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</row>
    <row r="94" spans="1:12" ht="15.75" x14ac:dyDescent="0.25">
      <c r="A94" s="114" t="s">
        <v>41</v>
      </c>
      <c r="B94" s="115"/>
      <c r="C94" s="115"/>
      <c r="D94" s="115"/>
      <c r="E94" s="115"/>
      <c r="F94" s="115"/>
      <c r="G94" s="115"/>
      <c r="H94" s="116"/>
      <c r="I94" s="9"/>
      <c r="J94" s="9"/>
    </row>
    <row r="95" spans="1:12" x14ac:dyDescent="0.25">
      <c r="A95" s="1" t="s">
        <v>1</v>
      </c>
      <c r="B95" s="1"/>
      <c r="C95" s="1" t="s">
        <v>2</v>
      </c>
      <c r="D95" s="1" t="s">
        <v>3</v>
      </c>
      <c r="E95" s="1" t="s">
        <v>4</v>
      </c>
      <c r="F95" s="1" t="s">
        <v>13</v>
      </c>
      <c r="G95" s="1" t="s">
        <v>5</v>
      </c>
      <c r="H95" s="1" t="s">
        <v>6</v>
      </c>
      <c r="I95" s="9"/>
      <c r="J95" s="9"/>
    </row>
    <row r="96" spans="1:12" x14ac:dyDescent="0.25">
      <c r="A96" s="1"/>
      <c r="B96" s="136" t="s">
        <v>41</v>
      </c>
      <c r="C96" s="1"/>
      <c r="D96" s="1"/>
      <c r="E96" s="1" t="s">
        <v>7</v>
      </c>
      <c r="F96" s="1" t="s">
        <v>7</v>
      </c>
      <c r="G96" s="1" t="s">
        <v>7</v>
      </c>
      <c r="H96" s="1" t="s">
        <v>8</v>
      </c>
      <c r="I96" s="9"/>
      <c r="J96" s="9"/>
    </row>
    <row r="97" spans="1:10" x14ac:dyDescent="0.25">
      <c r="A97" s="131">
        <v>1</v>
      </c>
      <c r="B97" s="136" t="s">
        <v>41</v>
      </c>
      <c r="C97" s="133" t="s">
        <v>102</v>
      </c>
      <c r="D97" s="131">
        <v>14</v>
      </c>
      <c r="E97" s="131">
        <v>2.4510000000000001</v>
      </c>
      <c r="F97" s="131">
        <v>1.2450000000000001</v>
      </c>
      <c r="G97" s="131">
        <v>0.16</v>
      </c>
      <c r="H97" s="143">
        <f>D97*E97*F97*G97</f>
        <v>6.8353488000000002</v>
      </c>
      <c r="I97" s="9"/>
      <c r="J97" s="9"/>
    </row>
    <row r="98" spans="1:10" x14ac:dyDescent="0.25">
      <c r="A98" s="131"/>
      <c r="B98" s="136" t="s">
        <v>41</v>
      </c>
      <c r="C98" s="133" t="s">
        <v>101</v>
      </c>
      <c r="D98" s="131">
        <v>14</v>
      </c>
      <c r="E98" s="131">
        <v>2.6549999999999998</v>
      </c>
      <c r="F98" s="131">
        <v>1.4450000000000001</v>
      </c>
      <c r="G98" s="131">
        <v>0.05</v>
      </c>
      <c r="H98" s="143">
        <f>D98*E98*F98*G98</f>
        <v>2.6855324999999999</v>
      </c>
      <c r="I98" s="9"/>
      <c r="J98" s="9"/>
    </row>
    <row r="99" spans="1:10" x14ac:dyDescent="0.25">
      <c r="A99" s="33"/>
      <c r="B99" s="33"/>
      <c r="C99" s="46"/>
      <c r="D99" s="33"/>
      <c r="E99" s="33"/>
      <c r="F99" s="33"/>
      <c r="G99" s="33"/>
      <c r="H99" s="58"/>
      <c r="I99" s="9"/>
      <c r="J99" s="9"/>
    </row>
    <row r="100" spans="1:10" x14ac:dyDescent="0.25">
      <c r="A100" s="33"/>
      <c r="B100" s="33"/>
      <c r="C100" s="46"/>
      <c r="D100" s="33"/>
      <c r="E100" s="33"/>
      <c r="F100" s="33"/>
      <c r="G100" s="33"/>
      <c r="H100" s="38"/>
      <c r="I100" s="85"/>
      <c r="J100" s="26"/>
    </row>
    <row r="101" spans="1:10" x14ac:dyDescent="0.25">
      <c r="A101" s="69"/>
      <c r="B101" s="69"/>
      <c r="C101" s="70"/>
      <c r="D101" s="69"/>
      <c r="E101" s="69"/>
      <c r="F101" s="69"/>
      <c r="G101" s="69"/>
      <c r="H101" s="83"/>
      <c r="I101" s="32">
        <f>SUM(H97:H101)*1.1</f>
        <v>10.472969429999999</v>
      </c>
      <c r="J101" s="53" t="s">
        <v>27</v>
      </c>
    </row>
    <row r="102" spans="1:10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</row>
    <row r="103" spans="1:10" ht="15.75" x14ac:dyDescent="0.25">
      <c r="A103" s="114" t="s">
        <v>42</v>
      </c>
      <c r="B103" s="115"/>
      <c r="C103" s="115"/>
      <c r="D103" s="115"/>
      <c r="E103" s="115"/>
      <c r="F103" s="115"/>
      <c r="G103" s="115"/>
      <c r="H103" s="116"/>
      <c r="I103" s="9"/>
      <c r="J103" s="9"/>
    </row>
    <row r="104" spans="1:10" x14ac:dyDescent="0.25">
      <c r="A104" s="1" t="s">
        <v>1</v>
      </c>
      <c r="B104" s="1"/>
      <c r="C104" s="1" t="s">
        <v>2</v>
      </c>
      <c r="D104" s="1" t="s">
        <v>3</v>
      </c>
      <c r="E104" s="1" t="s">
        <v>4</v>
      </c>
      <c r="F104" s="1" t="s">
        <v>13</v>
      </c>
      <c r="G104" s="1" t="s">
        <v>5</v>
      </c>
      <c r="H104" s="1" t="s">
        <v>6</v>
      </c>
      <c r="I104" s="9"/>
      <c r="J104" s="9"/>
    </row>
    <row r="105" spans="1:10" x14ac:dyDescent="0.25">
      <c r="A105" s="1"/>
      <c r="B105" s="1"/>
      <c r="C105" s="1"/>
      <c r="D105" s="1"/>
      <c r="E105" s="1" t="s">
        <v>7</v>
      </c>
      <c r="F105" s="1" t="s">
        <v>7</v>
      </c>
      <c r="G105" s="1" t="s">
        <v>7</v>
      </c>
      <c r="H105" s="1" t="s">
        <v>8</v>
      </c>
      <c r="I105" s="9"/>
      <c r="J105" s="9"/>
    </row>
    <row r="106" spans="1:10" x14ac:dyDescent="0.25">
      <c r="A106" s="33"/>
      <c r="B106" s="33"/>
      <c r="C106" s="46"/>
      <c r="D106" s="33"/>
      <c r="E106" s="33"/>
      <c r="F106" s="33"/>
      <c r="G106" s="33"/>
      <c r="H106" s="38"/>
      <c r="I106" s="9"/>
      <c r="J106" s="9"/>
    </row>
    <row r="107" spans="1:10" ht="14.25" customHeight="1" x14ac:dyDescent="0.25">
      <c r="A107" s="33"/>
      <c r="B107" s="33"/>
      <c r="C107" s="46"/>
      <c r="D107" s="33"/>
      <c r="E107" s="63"/>
      <c r="F107" s="33"/>
      <c r="G107" s="33"/>
      <c r="H107" s="38"/>
      <c r="I107" s="9"/>
      <c r="J107" s="9"/>
    </row>
    <row r="108" spans="1:10" x14ac:dyDescent="0.25">
      <c r="A108" s="1"/>
      <c r="B108" s="1"/>
      <c r="C108" s="130"/>
      <c r="D108" s="1"/>
      <c r="E108" s="1"/>
      <c r="F108" s="1"/>
      <c r="G108" s="1"/>
      <c r="H108" s="25"/>
      <c r="I108" s="18">
        <f>SUM(H106:H107)</f>
        <v>0</v>
      </c>
      <c r="J108" s="19" t="s">
        <v>28</v>
      </c>
    </row>
    <row r="110" spans="1:10" ht="15.75" x14ac:dyDescent="0.25">
      <c r="A110" s="114" t="s">
        <v>35</v>
      </c>
      <c r="B110" s="115"/>
      <c r="C110" s="115"/>
      <c r="D110" s="115"/>
      <c r="E110" s="115"/>
      <c r="F110" s="115"/>
      <c r="G110" s="115"/>
      <c r="H110" s="116"/>
      <c r="I110" s="9"/>
      <c r="J110" s="9"/>
    </row>
    <row r="111" spans="1:10" x14ac:dyDescent="0.25">
      <c r="A111" s="1" t="s">
        <v>1</v>
      </c>
      <c r="B111" s="1"/>
      <c r="C111" s="1" t="s">
        <v>2</v>
      </c>
      <c r="D111" s="1" t="s">
        <v>3</v>
      </c>
      <c r="E111" s="1" t="s">
        <v>43</v>
      </c>
      <c r="F111" s="1" t="s">
        <v>46</v>
      </c>
      <c r="G111" s="1" t="s">
        <v>45</v>
      </c>
      <c r="H111" s="1" t="s">
        <v>6</v>
      </c>
      <c r="I111" s="9"/>
      <c r="J111" s="9"/>
    </row>
    <row r="112" spans="1:10" x14ac:dyDescent="0.25">
      <c r="A112" s="1"/>
      <c r="B112" s="131" t="str">
        <f>$A$110</f>
        <v>ANCHOR BOLTS</v>
      </c>
      <c r="C112" s="1"/>
      <c r="D112" s="1"/>
      <c r="E112" s="1" t="s">
        <v>44</v>
      </c>
      <c r="F112" s="1" t="s">
        <v>47</v>
      </c>
      <c r="G112" s="1" t="s">
        <v>48</v>
      </c>
      <c r="H112" s="1" t="s">
        <v>29</v>
      </c>
      <c r="I112" s="9"/>
      <c r="J112" s="9"/>
    </row>
    <row r="113" spans="1:10" x14ac:dyDescent="0.25">
      <c r="A113" s="131">
        <v>1</v>
      </c>
      <c r="B113" s="131" t="str">
        <f>$A$110</f>
        <v>ANCHOR BOLTS</v>
      </c>
      <c r="C113" s="133" t="s">
        <v>100</v>
      </c>
      <c r="D113" s="131">
        <v>14</v>
      </c>
      <c r="E113" s="145" t="s">
        <v>103</v>
      </c>
      <c r="F113" s="131">
        <v>6</v>
      </c>
      <c r="G113" s="131">
        <v>5</v>
      </c>
      <c r="H113" s="132">
        <f>G113*F113*D113</f>
        <v>420</v>
      </c>
      <c r="I113" s="9"/>
      <c r="J113" s="9"/>
    </row>
    <row r="114" spans="1:10" x14ac:dyDescent="0.25">
      <c r="A114" s="33">
        <v>2</v>
      </c>
      <c r="B114" s="33"/>
      <c r="C114" s="46"/>
      <c r="D114" s="33"/>
      <c r="E114" s="59"/>
      <c r="F114" s="33"/>
      <c r="G114" s="33"/>
      <c r="H114" s="48"/>
      <c r="I114" s="9"/>
      <c r="J114" s="9"/>
    </row>
    <row r="115" spans="1:10" x14ac:dyDescent="0.25">
      <c r="A115" s="33">
        <v>10</v>
      </c>
      <c r="B115" s="33"/>
      <c r="C115" s="46"/>
      <c r="D115" s="33"/>
      <c r="E115" s="33"/>
      <c r="F115" s="33"/>
      <c r="G115" s="33"/>
      <c r="H115" s="48"/>
      <c r="I115" s="9"/>
      <c r="J115" s="9"/>
    </row>
    <row r="116" spans="1:10" x14ac:dyDescent="0.25">
      <c r="A116" s="33">
        <v>11</v>
      </c>
      <c r="B116" s="33"/>
      <c r="C116" s="46"/>
      <c r="D116" s="33"/>
      <c r="E116" s="33"/>
      <c r="F116" s="33"/>
      <c r="G116" s="33"/>
      <c r="H116" s="48"/>
      <c r="I116" s="9"/>
      <c r="J116" s="9"/>
    </row>
    <row r="117" spans="1:10" x14ac:dyDescent="0.25">
      <c r="A117" s="7"/>
      <c r="B117" s="7"/>
      <c r="E117" s="7"/>
      <c r="F117" s="7"/>
      <c r="G117" s="7"/>
      <c r="H117" s="27"/>
      <c r="I117" s="52">
        <f>SUM(H113:H116)*1.1</f>
        <v>462.00000000000006</v>
      </c>
      <c r="J117" s="19" t="s">
        <v>30</v>
      </c>
    </row>
    <row r="118" spans="1:10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28" t="s">
        <v>31</v>
      </c>
    </row>
    <row r="119" spans="1:10" x14ac:dyDescent="0.25">
      <c r="A119" s="26"/>
      <c r="B119" s="26"/>
      <c r="C119" s="93"/>
      <c r="D119" s="26"/>
      <c r="E119" s="11"/>
      <c r="F119" s="11"/>
    </row>
    <row r="120" spans="1:10" x14ac:dyDescent="0.25">
      <c r="A120" s="11"/>
      <c r="B120" s="11"/>
      <c r="C120" s="11"/>
      <c r="D120" s="11"/>
      <c r="E120" s="11"/>
      <c r="F120" s="11"/>
    </row>
    <row r="121" spans="1:10" x14ac:dyDescent="0.25">
      <c r="A121" s="11"/>
      <c r="B121" s="11"/>
      <c r="C121" s="11"/>
      <c r="D121" s="11"/>
      <c r="E121" s="94"/>
      <c r="F121" s="94"/>
    </row>
    <row r="122" spans="1:10" x14ac:dyDescent="0.25">
      <c r="A122" s="11"/>
      <c r="B122" s="11"/>
      <c r="C122" s="11"/>
      <c r="D122" s="11"/>
      <c r="E122" s="94"/>
      <c r="F122" s="94"/>
    </row>
    <row r="123" spans="1:10" x14ac:dyDescent="0.25">
      <c r="A123" s="11"/>
      <c r="B123" s="11"/>
      <c r="C123" s="11"/>
      <c r="D123" s="11"/>
      <c r="E123" s="94"/>
      <c r="F123" s="94"/>
    </row>
    <row r="124" spans="1:10" x14ac:dyDescent="0.25">
      <c r="A124" s="11"/>
      <c r="B124" s="11"/>
      <c r="C124" s="11"/>
      <c r="D124" s="11"/>
      <c r="E124" s="94"/>
      <c r="F124" s="94"/>
    </row>
    <row r="125" spans="1:10" x14ac:dyDescent="0.25">
      <c r="A125" s="11"/>
      <c r="B125" s="11"/>
      <c r="C125" s="11"/>
      <c r="D125" s="11"/>
      <c r="E125" s="11"/>
      <c r="F125" s="11"/>
    </row>
  </sheetData>
  <mergeCells count="5">
    <mergeCell ref="A1:H1"/>
    <mergeCell ref="A2:H2"/>
    <mergeCell ref="A3:H3"/>
    <mergeCell ref="C5:E5"/>
    <mergeCell ref="L38:N39"/>
  </mergeCells>
  <pageMargins left="0.7" right="0.7" top="0.75" bottom="0.75" header="0.3" footer="0.3"/>
  <pageSetup paperSize="8" scale="67" fitToHeight="0" orientation="portrait" r:id="rId1"/>
  <rowBreaks count="1" manualBreakCount="1">
    <brk id="11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zoomScale="70" zoomScaleNormal="70" workbookViewId="0">
      <selection activeCell="C27" sqref="C27"/>
    </sheetView>
  </sheetViews>
  <sheetFormatPr defaultRowHeight="15" x14ac:dyDescent="0.25"/>
  <cols>
    <col min="1" max="1" width="6" style="2" bestFit="1" customWidth="1"/>
    <col min="2" max="2" width="16.140625" style="2" customWidth="1"/>
    <col min="3" max="3" width="40.42578125" style="2" customWidth="1"/>
    <col min="4" max="4" width="14.42578125" style="2" customWidth="1"/>
    <col min="5" max="5" width="9.28515625" style="2" bestFit="1" customWidth="1"/>
    <col min="6" max="6" width="12" style="2" bestFit="1" customWidth="1"/>
    <col min="7" max="8" width="9.28515625" style="2" bestFit="1" customWidth="1"/>
    <col min="9" max="9" width="10.85546875" style="2" bestFit="1" customWidth="1"/>
    <col min="10" max="10" width="16.85546875" style="2" bestFit="1" customWidth="1"/>
    <col min="11" max="11" width="3" style="2" customWidth="1"/>
    <col min="12" max="12" width="29.7109375" style="2" bestFit="1" customWidth="1"/>
    <col min="13" max="13" width="9.42578125" style="2" bestFit="1" customWidth="1"/>
    <col min="14" max="16384" width="9.140625" style="2"/>
  </cols>
  <sheetData>
    <row r="1" spans="1:11" ht="21" x14ac:dyDescent="0.35">
      <c r="A1" s="156" t="s">
        <v>39</v>
      </c>
      <c r="B1" s="156"/>
      <c r="C1" s="156"/>
      <c r="D1" s="156"/>
      <c r="E1" s="156"/>
      <c r="F1" s="156"/>
      <c r="G1" s="156"/>
      <c r="H1" s="156"/>
      <c r="I1" s="42"/>
      <c r="J1" s="42"/>
      <c r="K1" s="98"/>
    </row>
    <row r="2" spans="1:11" ht="21" x14ac:dyDescent="0.35">
      <c r="A2" s="157" t="s">
        <v>68</v>
      </c>
      <c r="B2" s="157"/>
      <c r="C2" s="157"/>
      <c r="D2" s="157"/>
      <c r="E2" s="157"/>
      <c r="F2" s="157"/>
      <c r="G2" s="157"/>
      <c r="H2" s="157"/>
      <c r="I2" s="43"/>
      <c r="J2" s="43"/>
      <c r="K2" s="30"/>
    </row>
    <row r="3" spans="1:11" x14ac:dyDescent="0.25">
      <c r="A3" s="158" t="s">
        <v>69</v>
      </c>
      <c r="B3" s="158"/>
      <c r="C3" s="158"/>
      <c r="D3" s="158"/>
      <c r="E3" s="158"/>
      <c r="F3" s="158"/>
      <c r="G3" s="158"/>
      <c r="H3" s="158"/>
    </row>
    <row r="4" spans="1:11" x14ac:dyDescent="0.25">
      <c r="A4" s="7"/>
      <c r="B4" s="7"/>
      <c r="C4" s="7"/>
      <c r="D4" s="7"/>
      <c r="E4" s="7"/>
      <c r="F4" s="7"/>
      <c r="G4" s="7"/>
      <c r="H4" s="7"/>
    </row>
    <row r="5" spans="1:11" x14ac:dyDescent="0.25">
      <c r="A5" s="7"/>
      <c r="B5" s="7"/>
      <c r="F5" s="7"/>
      <c r="G5" s="7"/>
      <c r="H5" s="7"/>
    </row>
    <row r="6" spans="1:11" x14ac:dyDescent="0.25">
      <c r="A6" s="7"/>
      <c r="B6" s="7"/>
      <c r="C6" s="168" t="s">
        <v>75</v>
      </c>
      <c r="D6" s="168"/>
      <c r="E6" s="168"/>
      <c r="F6" s="7"/>
      <c r="G6" s="7"/>
      <c r="H6" s="7"/>
    </row>
    <row r="7" spans="1:11" x14ac:dyDescent="0.25">
      <c r="A7" s="7"/>
      <c r="B7" s="7"/>
      <c r="C7" s="49" t="s">
        <v>0</v>
      </c>
      <c r="D7" s="95">
        <f>SUMIF($B$34:$B$144,C7,$H$34:$H$144)*1.1</f>
        <v>319.26124999999996</v>
      </c>
      <c r="E7" s="36" t="str">
        <f>INDEX($H$34:$H$145,MATCH(C7,$B$34:$B$145,0))</f>
        <v>(cu-m)</v>
      </c>
      <c r="F7" s="7"/>
      <c r="G7" s="7"/>
      <c r="H7" s="7"/>
    </row>
    <row r="8" spans="1:11" x14ac:dyDescent="0.25">
      <c r="A8" s="7"/>
      <c r="B8" s="7"/>
      <c r="C8" s="49" t="s">
        <v>37</v>
      </c>
      <c r="D8" s="95">
        <f>SUMIF($B$34:$B$144,C8,$H$34:$H$144)*1.1</f>
        <v>45.608750000000008</v>
      </c>
      <c r="E8" s="36" t="str">
        <f>INDEX($H$34:$H$145,MATCH(C8,$B$34:$B$145,0))</f>
        <v>(cu-m)</v>
      </c>
      <c r="F8" s="7"/>
      <c r="G8" s="7"/>
      <c r="H8" s="7"/>
    </row>
    <row r="9" spans="1:11" x14ac:dyDescent="0.25">
      <c r="A9" s="7"/>
      <c r="B9" s="7"/>
      <c r="C9" s="153" t="s">
        <v>32</v>
      </c>
      <c r="D9" s="51"/>
      <c r="E9" s="1"/>
      <c r="F9" s="7"/>
      <c r="G9" s="7"/>
      <c r="H9" s="7"/>
    </row>
    <row r="10" spans="1:11" x14ac:dyDescent="0.25">
      <c r="A10" s="7"/>
      <c r="B10" s="7"/>
      <c r="C10" s="33" t="s">
        <v>130</v>
      </c>
      <c r="D10" s="95">
        <f>SUMIF($B$34:$B$144,C10,$H$34:$H$144)*1.1</f>
        <v>136.82624999999999</v>
      </c>
      <c r="E10" s="36" t="str">
        <f>INDEX($H$34:$H$145,MATCH(C10,$B$34:$B$145,0))</f>
        <v>(cu-m)</v>
      </c>
      <c r="F10" s="7"/>
      <c r="G10" s="7"/>
      <c r="H10" s="7"/>
    </row>
    <row r="11" spans="1:11" x14ac:dyDescent="0.25">
      <c r="A11" s="7"/>
      <c r="B11" s="7"/>
      <c r="C11" s="33" t="s">
        <v>94</v>
      </c>
      <c r="D11" s="95">
        <f>SUMIF($B$34:$B$144,C11,$H$34:$H$144)*1.1</f>
        <v>136.82624999999999</v>
      </c>
      <c r="E11" s="36" t="str">
        <f>INDEX($H$34:$H$145,MATCH(C11,$B$34:$B$145,0))</f>
        <v>(cu-m)</v>
      </c>
      <c r="F11" s="7"/>
      <c r="G11" s="7"/>
      <c r="H11" s="7"/>
    </row>
    <row r="12" spans="1:11" x14ac:dyDescent="0.25">
      <c r="A12" s="7"/>
      <c r="B12" s="7"/>
      <c r="C12" s="29" t="s">
        <v>12</v>
      </c>
      <c r="D12" s="95">
        <f>SUMIF($B$34:$B$144,C12,$H$34:$H$144)*1.1</f>
        <v>11.288165624999998</v>
      </c>
      <c r="E12" s="36" t="str">
        <f>INDEX($H$34:$H$145,MATCH(C12,$B$34:$B$145,0))</f>
        <v>Ton</v>
      </c>
      <c r="F12" s="7"/>
      <c r="G12" s="7"/>
      <c r="H12" s="7"/>
    </row>
    <row r="13" spans="1:11" x14ac:dyDescent="0.25">
      <c r="A13" s="7"/>
      <c r="B13" s="7"/>
      <c r="C13" s="33" t="s">
        <v>95</v>
      </c>
      <c r="D13" s="95">
        <f>SUMIF($B$34:$B$144,C13,$H$34:$H$144)*1.1</f>
        <v>50.16</v>
      </c>
      <c r="E13" s="36" t="str">
        <f>INDEX($H$34:$H$145,MATCH(C13,$B$34:$B$145,0))</f>
        <v>m</v>
      </c>
      <c r="F13" s="7"/>
      <c r="G13" s="7"/>
      <c r="H13" s="7"/>
    </row>
    <row r="14" spans="1:11" x14ac:dyDescent="0.25">
      <c r="A14" s="7"/>
      <c r="B14" s="7"/>
      <c r="C14" s="33"/>
      <c r="D14" s="95"/>
      <c r="E14" s="1"/>
      <c r="F14" s="7"/>
      <c r="G14" s="7"/>
      <c r="H14" s="7"/>
    </row>
    <row r="15" spans="1:11" x14ac:dyDescent="0.25">
      <c r="A15" s="7"/>
      <c r="B15" s="7"/>
      <c r="C15" s="33"/>
      <c r="D15" s="121"/>
      <c r="E15" s="12"/>
      <c r="F15" s="7"/>
      <c r="G15" s="7"/>
      <c r="H15" s="7"/>
    </row>
    <row r="16" spans="1:11" x14ac:dyDescent="0.25">
      <c r="A16" s="7"/>
      <c r="B16" s="7"/>
      <c r="C16" s="33"/>
      <c r="D16" s="121"/>
      <c r="E16" s="12"/>
      <c r="F16" s="7"/>
      <c r="G16" s="7"/>
      <c r="H16" s="7"/>
    </row>
    <row r="17" spans="1:8" x14ac:dyDescent="0.25">
      <c r="A17" s="7"/>
      <c r="B17" s="7"/>
      <c r="C17" s="7"/>
      <c r="D17" s="7"/>
      <c r="E17" s="7"/>
      <c r="F17" s="7"/>
      <c r="G17" s="7"/>
      <c r="H17" s="7"/>
    </row>
    <row r="18" spans="1:8" x14ac:dyDescent="0.25">
      <c r="A18" s="7"/>
      <c r="B18" s="7"/>
      <c r="C18" s="7"/>
      <c r="D18" s="7"/>
      <c r="E18" s="7"/>
      <c r="F18" s="7"/>
      <c r="G18" s="7"/>
      <c r="H18" s="7"/>
    </row>
    <row r="19" spans="1:8" x14ac:dyDescent="0.25">
      <c r="A19" s="7"/>
      <c r="B19" s="7"/>
      <c r="C19" s="7"/>
      <c r="D19" s="7"/>
      <c r="E19" s="7"/>
      <c r="F19" s="7"/>
      <c r="G19" s="7"/>
      <c r="H19" s="7"/>
    </row>
    <row r="20" spans="1:8" x14ac:dyDescent="0.25">
      <c r="A20" s="7"/>
      <c r="B20" s="7"/>
      <c r="C20" s="7"/>
      <c r="D20" s="7"/>
      <c r="E20" s="7"/>
      <c r="F20" s="7"/>
      <c r="G20" s="7"/>
      <c r="H20" s="7"/>
    </row>
    <row r="21" spans="1:8" x14ac:dyDescent="0.25">
      <c r="A21" s="7"/>
      <c r="B21" s="7"/>
      <c r="C21" s="7"/>
      <c r="D21" s="7"/>
      <c r="E21" s="7"/>
      <c r="F21" s="7"/>
      <c r="G21" s="7"/>
      <c r="H21" s="7"/>
    </row>
    <row r="22" spans="1:8" x14ac:dyDescent="0.25">
      <c r="A22" s="7"/>
      <c r="B22" s="7"/>
      <c r="C22" s="7"/>
      <c r="D22" s="7"/>
      <c r="E22" s="7"/>
      <c r="F22" s="7"/>
      <c r="G22" s="7"/>
      <c r="H22" s="7"/>
    </row>
    <row r="23" spans="1:8" x14ac:dyDescent="0.25">
      <c r="A23" s="7"/>
      <c r="B23" s="7"/>
      <c r="C23" s="7"/>
      <c r="D23" s="7"/>
      <c r="E23" s="7"/>
      <c r="F23" s="7"/>
      <c r="G23" s="7"/>
      <c r="H23" s="7"/>
    </row>
    <row r="24" spans="1:8" x14ac:dyDescent="0.25">
      <c r="A24" s="7"/>
      <c r="B24" s="7"/>
      <c r="C24" s="7"/>
      <c r="D24" s="7"/>
      <c r="E24" s="7"/>
      <c r="F24" s="7"/>
      <c r="G24" s="7"/>
      <c r="H24" s="7"/>
    </row>
    <row r="25" spans="1:8" x14ac:dyDescent="0.25">
      <c r="A25" s="7"/>
      <c r="B25" s="7"/>
      <c r="C25" s="7"/>
      <c r="D25" s="7"/>
      <c r="E25" s="7"/>
      <c r="F25" s="7"/>
      <c r="G25" s="7"/>
      <c r="H25" s="7"/>
    </row>
    <row r="26" spans="1:8" x14ac:dyDescent="0.25">
      <c r="A26" s="7"/>
      <c r="B26" s="7"/>
      <c r="C26" s="7"/>
      <c r="D26" s="7"/>
      <c r="E26" s="7"/>
      <c r="F26" s="7"/>
      <c r="G26" s="7"/>
      <c r="H26" s="7"/>
    </row>
    <row r="27" spans="1:8" x14ac:dyDescent="0.25">
      <c r="A27" s="7"/>
      <c r="B27" s="7"/>
      <c r="C27" s="7"/>
      <c r="D27" s="7"/>
      <c r="E27" s="7"/>
      <c r="F27" s="7"/>
      <c r="G27" s="7"/>
      <c r="H27" s="7"/>
    </row>
    <row r="28" spans="1:8" x14ac:dyDescent="0.25">
      <c r="A28" s="7"/>
      <c r="B28" s="7"/>
      <c r="C28" s="7"/>
      <c r="D28" s="7"/>
      <c r="E28" s="7"/>
      <c r="F28" s="7"/>
      <c r="G28" s="7"/>
      <c r="H28" s="7"/>
    </row>
    <row r="29" spans="1:8" x14ac:dyDescent="0.25">
      <c r="A29" s="7"/>
      <c r="B29" s="7"/>
      <c r="C29" s="7"/>
      <c r="D29" s="7"/>
      <c r="E29" s="7"/>
      <c r="F29" s="7"/>
      <c r="G29" s="7"/>
      <c r="H29" s="7"/>
    </row>
    <row r="30" spans="1:8" x14ac:dyDescent="0.25">
      <c r="A30" s="7"/>
      <c r="B30" s="7"/>
      <c r="C30" s="7"/>
      <c r="D30" s="7"/>
      <c r="E30" s="7"/>
      <c r="F30" s="7"/>
      <c r="G30" s="7"/>
      <c r="H30" s="7"/>
    </row>
    <row r="31" spans="1:8" x14ac:dyDescent="0.25">
      <c r="A31" s="7"/>
      <c r="B31" s="7"/>
      <c r="C31" s="7"/>
      <c r="D31" s="7"/>
      <c r="E31" s="7"/>
      <c r="F31" s="7"/>
      <c r="G31" s="7"/>
      <c r="H31" s="7"/>
    </row>
    <row r="32" spans="1:8" x14ac:dyDescent="0.25">
      <c r="A32" s="7"/>
      <c r="B32" s="7"/>
      <c r="C32" s="7"/>
      <c r="D32" s="7"/>
      <c r="E32" s="7"/>
      <c r="F32" s="7"/>
      <c r="G32" s="7"/>
      <c r="H32" s="7"/>
    </row>
    <row r="33" spans="1:14" x14ac:dyDescent="0.25">
      <c r="A33" s="7"/>
      <c r="B33" s="7"/>
      <c r="C33" s="7"/>
      <c r="D33" s="7"/>
      <c r="E33" s="7"/>
      <c r="F33" s="7"/>
      <c r="G33" s="7"/>
      <c r="H33" s="7"/>
    </row>
    <row r="34" spans="1:14" x14ac:dyDescent="0.25">
      <c r="A34" s="7"/>
      <c r="B34" s="7"/>
      <c r="C34" s="7"/>
      <c r="D34" s="7"/>
      <c r="E34" s="7"/>
      <c r="F34" s="7"/>
      <c r="G34" s="7"/>
      <c r="H34" s="7"/>
    </row>
    <row r="35" spans="1:14" x14ac:dyDescent="0.25">
      <c r="A35" s="7"/>
      <c r="B35" s="7"/>
      <c r="C35" s="7"/>
      <c r="D35" s="7"/>
      <c r="E35" s="7"/>
      <c r="F35" s="7"/>
      <c r="G35" s="7"/>
      <c r="H35" s="7"/>
    </row>
    <row r="36" spans="1:14" x14ac:dyDescent="0.25">
      <c r="A36" s="7"/>
      <c r="B36" s="7"/>
      <c r="C36" s="7"/>
      <c r="D36" s="7"/>
      <c r="E36" s="7"/>
      <c r="F36" s="7"/>
      <c r="G36" s="7"/>
      <c r="H36" s="7"/>
    </row>
    <row r="37" spans="1:14" ht="16.5" thickBot="1" x14ac:dyDescent="0.3">
      <c r="A37" s="118" t="s">
        <v>0</v>
      </c>
      <c r="B37" s="119"/>
      <c r="C37" s="119"/>
      <c r="D37" s="119"/>
      <c r="E37" s="119"/>
      <c r="F37" s="119"/>
      <c r="G37" s="119"/>
      <c r="H37" s="120"/>
    </row>
    <row r="38" spans="1:14" ht="15.75" thickBot="1" x14ac:dyDescent="0.3">
      <c r="A38" s="64" t="s">
        <v>1</v>
      </c>
      <c r="B38" s="122"/>
      <c r="C38" s="65" t="s">
        <v>2</v>
      </c>
      <c r="D38" s="65" t="s">
        <v>3</v>
      </c>
      <c r="E38" s="65" t="s">
        <v>33</v>
      </c>
      <c r="F38" s="65" t="s">
        <v>34</v>
      </c>
      <c r="G38" s="65" t="s">
        <v>5</v>
      </c>
      <c r="H38" s="66" t="s">
        <v>6</v>
      </c>
      <c r="L38" s="168"/>
      <c r="M38" s="168"/>
      <c r="N38" s="168"/>
    </row>
    <row r="39" spans="1:14" x14ac:dyDescent="0.25">
      <c r="A39" s="67"/>
      <c r="B39" s="131" t="str">
        <f>$A$37</f>
        <v>EXCAVATION</v>
      </c>
      <c r="C39" s="68"/>
      <c r="D39" s="67"/>
      <c r="E39" s="67" t="s">
        <v>7</v>
      </c>
      <c r="F39" s="67" t="s">
        <v>7</v>
      </c>
      <c r="G39" s="67" t="s">
        <v>7</v>
      </c>
      <c r="H39" s="67" t="s">
        <v>8</v>
      </c>
      <c r="L39" s="33"/>
      <c r="M39" s="55"/>
      <c r="N39" s="1"/>
    </row>
    <row r="40" spans="1:14" x14ac:dyDescent="0.25">
      <c r="A40" s="131">
        <v>1</v>
      </c>
      <c r="B40" s="131" t="str">
        <f>$A$37</f>
        <v>EXCAVATION</v>
      </c>
      <c r="C40" s="133" t="s">
        <v>108</v>
      </c>
      <c r="D40" s="131">
        <v>1</v>
      </c>
      <c r="E40" s="131">
        <v>26.75</v>
      </c>
      <c r="F40" s="131">
        <v>31</v>
      </c>
      <c r="G40" s="131">
        <v>0.35</v>
      </c>
      <c r="H40" s="132">
        <f>D40*E40*F40*G40</f>
        <v>290.23749999999995</v>
      </c>
      <c r="I40" s="34"/>
      <c r="J40" s="35"/>
      <c r="L40" s="33"/>
      <c r="M40" s="55"/>
      <c r="N40" s="1"/>
    </row>
    <row r="41" spans="1:14" x14ac:dyDescent="0.25">
      <c r="A41" s="33"/>
      <c r="B41" s="33"/>
      <c r="C41" s="46"/>
      <c r="D41" s="33"/>
      <c r="E41" s="29"/>
      <c r="F41" s="29"/>
      <c r="G41" s="33"/>
      <c r="H41" s="48"/>
      <c r="I41" s="34"/>
      <c r="J41" s="35"/>
      <c r="L41" s="99"/>
      <c r="M41" s="51"/>
      <c r="N41" s="1"/>
    </row>
    <row r="42" spans="1:14" x14ac:dyDescent="0.25">
      <c r="A42" s="33"/>
      <c r="B42" s="33"/>
      <c r="C42" s="46"/>
      <c r="D42" s="33"/>
      <c r="E42" s="33"/>
      <c r="F42" s="33"/>
      <c r="G42" s="33"/>
      <c r="H42" s="48"/>
      <c r="I42" s="34"/>
      <c r="J42" s="35"/>
      <c r="L42" s="33"/>
      <c r="M42" s="55"/>
      <c r="N42" s="1"/>
    </row>
    <row r="43" spans="1:14" x14ac:dyDescent="0.25">
      <c r="A43" s="33"/>
      <c r="B43" s="33"/>
      <c r="C43" s="46"/>
      <c r="D43" s="33"/>
      <c r="E43" s="49"/>
      <c r="F43" s="49"/>
      <c r="G43" s="33"/>
      <c r="H43" s="48"/>
      <c r="L43" s="33"/>
      <c r="M43" s="55"/>
      <c r="N43" s="1"/>
    </row>
    <row r="44" spans="1:14" x14ac:dyDescent="0.25">
      <c r="A44" s="69"/>
      <c r="B44" s="69"/>
      <c r="C44" s="70"/>
      <c r="D44" s="69"/>
      <c r="E44" s="73"/>
      <c r="F44" s="73"/>
      <c r="G44" s="71"/>
      <c r="H44" s="72"/>
      <c r="L44" s="33"/>
      <c r="M44" s="55"/>
      <c r="N44" s="1"/>
    </row>
    <row r="45" spans="1:14" s="10" customFormat="1" x14ac:dyDescent="0.25">
      <c r="A45" s="69"/>
      <c r="B45" s="69"/>
      <c r="C45" s="70"/>
      <c r="D45" s="69"/>
      <c r="E45" s="71"/>
      <c r="F45" s="71"/>
      <c r="G45" s="71"/>
      <c r="H45" s="72"/>
      <c r="J45" s="31"/>
      <c r="K45" s="31"/>
      <c r="L45" s="29"/>
      <c r="M45" s="52"/>
      <c r="N45" s="12"/>
    </row>
    <row r="46" spans="1:14" x14ac:dyDescent="0.25">
      <c r="A46" s="69"/>
      <c r="B46" s="79"/>
      <c r="C46" s="75"/>
      <c r="D46" s="69"/>
      <c r="E46" s="69"/>
      <c r="F46" s="69"/>
      <c r="G46" s="72"/>
      <c r="H46" s="72"/>
      <c r="L46" s="33"/>
      <c r="M46" s="54"/>
      <c r="N46" s="1"/>
    </row>
    <row r="47" spans="1:14" x14ac:dyDescent="0.25">
      <c r="A47" s="69"/>
      <c r="B47" s="69"/>
      <c r="C47" s="78"/>
      <c r="D47" s="69"/>
      <c r="E47" s="76"/>
      <c r="F47" s="76"/>
      <c r="G47" s="76"/>
      <c r="H47" s="77"/>
      <c r="L47" s="33"/>
      <c r="M47" s="55"/>
      <c r="N47" s="1"/>
    </row>
    <row r="48" spans="1:14" x14ac:dyDescent="0.25">
      <c r="A48" s="79"/>
      <c r="B48" s="79"/>
      <c r="C48" s="80"/>
      <c r="D48" s="79"/>
      <c r="E48" s="81"/>
      <c r="F48" s="81"/>
      <c r="G48" s="81"/>
      <c r="H48" s="82"/>
      <c r="I48" s="142">
        <f>SUM(H40:H47)*1.1</f>
        <v>319.26124999999996</v>
      </c>
      <c r="J48" s="19" t="s">
        <v>19</v>
      </c>
      <c r="K48" s="3"/>
      <c r="L48" s="33"/>
      <c r="M48" s="54"/>
      <c r="N48" s="12"/>
    </row>
    <row r="49" spans="1:14" x14ac:dyDescent="0.25">
      <c r="A49" s="79"/>
      <c r="B49" s="79"/>
      <c r="C49" s="80"/>
      <c r="D49" s="79"/>
      <c r="E49" s="81"/>
      <c r="F49" s="81"/>
      <c r="G49" s="81"/>
      <c r="H49" s="82"/>
      <c r="I49" s="6"/>
      <c r="J49" s="3"/>
      <c r="K49" s="3"/>
    </row>
    <row r="50" spans="1:14" ht="15.75" x14ac:dyDescent="0.25">
      <c r="A50" s="114" t="s">
        <v>94</v>
      </c>
      <c r="B50" s="115"/>
      <c r="C50" s="115"/>
      <c r="D50" s="115"/>
      <c r="E50" s="115"/>
      <c r="F50" s="115"/>
      <c r="G50" s="115"/>
      <c r="H50" s="116"/>
      <c r="L50" s="7"/>
      <c r="M50" s="92"/>
      <c r="N50" s="7"/>
    </row>
    <row r="51" spans="1:14" x14ac:dyDescent="0.25">
      <c r="A51" s="1" t="s">
        <v>1</v>
      </c>
      <c r="B51" s="1"/>
      <c r="C51" s="1" t="s">
        <v>2</v>
      </c>
      <c r="D51" s="1" t="s">
        <v>3</v>
      </c>
      <c r="E51" s="1" t="s">
        <v>4</v>
      </c>
      <c r="F51" s="1" t="s">
        <v>13</v>
      </c>
      <c r="G51" s="1" t="s">
        <v>5</v>
      </c>
      <c r="H51" s="1" t="s">
        <v>6</v>
      </c>
      <c r="L51" s="7"/>
      <c r="M51" s="92"/>
      <c r="N51" s="7"/>
    </row>
    <row r="52" spans="1:14" x14ac:dyDescent="0.25">
      <c r="A52" s="1"/>
      <c r="B52" s="131" t="str">
        <f>$A$50</f>
        <v>STONE SOLING</v>
      </c>
      <c r="C52" s="1"/>
      <c r="D52" s="1"/>
      <c r="E52" s="1" t="s">
        <v>7</v>
      </c>
      <c r="F52" s="1" t="s">
        <v>7</v>
      </c>
      <c r="G52" s="1" t="s">
        <v>7</v>
      </c>
      <c r="H52" s="1" t="s">
        <v>8</v>
      </c>
      <c r="L52" s="7"/>
    </row>
    <row r="53" spans="1:14" x14ac:dyDescent="0.25">
      <c r="A53" s="131">
        <v>1</v>
      </c>
      <c r="B53" s="131" t="str">
        <f>$A$50</f>
        <v>STONE SOLING</v>
      </c>
      <c r="C53" s="133" t="s">
        <v>108</v>
      </c>
      <c r="D53" s="135">
        <f>D40</f>
        <v>1</v>
      </c>
      <c r="E53" s="135">
        <f>E40</f>
        <v>26.75</v>
      </c>
      <c r="F53" s="135">
        <f>F40</f>
        <v>31</v>
      </c>
      <c r="G53" s="131">
        <v>0.15</v>
      </c>
      <c r="H53" s="132">
        <f>D53*E53*F53*G53</f>
        <v>124.38749999999999</v>
      </c>
      <c r="J53" s="11"/>
      <c r="K53" s="11"/>
      <c r="L53" s="13"/>
    </row>
    <row r="54" spans="1:14" x14ac:dyDescent="0.25">
      <c r="A54" s="33"/>
      <c r="B54" s="33"/>
      <c r="C54" s="46"/>
      <c r="D54" s="29"/>
      <c r="E54" s="29"/>
      <c r="F54" s="29"/>
      <c r="G54" s="33"/>
      <c r="H54" s="48"/>
      <c r="J54" s="11"/>
      <c r="K54" s="11"/>
      <c r="L54" s="13"/>
    </row>
    <row r="55" spans="1:14" x14ac:dyDescent="0.25">
      <c r="A55" s="33" t="s">
        <v>124</v>
      </c>
      <c r="B55" s="33"/>
      <c r="C55" s="46"/>
      <c r="D55" s="29"/>
      <c r="E55" s="29"/>
      <c r="F55" s="29"/>
      <c r="G55" s="33"/>
      <c r="H55" s="48"/>
      <c r="J55" s="11"/>
      <c r="K55" s="11"/>
      <c r="L55" s="13"/>
    </row>
    <row r="56" spans="1:14" x14ac:dyDescent="0.25">
      <c r="A56" s="33"/>
      <c r="B56" s="33"/>
      <c r="C56" s="46"/>
      <c r="D56" s="29"/>
      <c r="E56" s="29"/>
      <c r="F56" s="29"/>
      <c r="G56" s="33"/>
      <c r="H56" s="48"/>
      <c r="J56" s="11"/>
      <c r="K56" s="11"/>
      <c r="L56" s="13"/>
    </row>
    <row r="57" spans="1:14" x14ac:dyDescent="0.25">
      <c r="A57" s="69"/>
      <c r="B57" s="69"/>
      <c r="C57" s="70"/>
      <c r="D57" s="71"/>
      <c r="E57" s="71"/>
      <c r="F57" s="71"/>
      <c r="G57" s="69"/>
      <c r="H57" s="72"/>
      <c r="J57" s="11"/>
      <c r="K57" s="11"/>
      <c r="L57" s="13"/>
    </row>
    <row r="58" spans="1:14" x14ac:dyDescent="0.25">
      <c r="A58" s="7"/>
      <c r="B58" s="7"/>
      <c r="C58" s="16"/>
      <c r="D58" s="7"/>
      <c r="E58" s="11"/>
      <c r="F58" s="11"/>
      <c r="G58" s="11"/>
      <c r="H58" s="13"/>
      <c r="I58" s="142">
        <f>SUM(H53:H57)*1.1</f>
        <v>136.82624999999999</v>
      </c>
      <c r="J58" s="19" t="str">
        <f>A50</f>
        <v>STONE SOLING</v>
      </c>
    </row>
    <row r="59" spans="1:14" x14ac:dyDescent="0.25">
      <c r="A59" s="7"/>
      <c r="B59" s="7"/>
      <c r="C59" s="16"/>
      <c r="D59" s="7"/>
      <c r="E59" s="11"/>
      <c r="F59" s="11"/>
      <c r="G59" s="11"/>
      <c r="H59" s="13"/>
      <c r="I59" s="11"/>
      <c r="J59" s="11"/>
    </row>
    <row r="60" spans="1:14" ht="15.75" x14ac:dyDescent="0.25">
      <c r="A60" s="114" t="s">
        <v>105</v>
      </c>
      <c r="B60" s="115"/>
      <c r="C60" s="115"/>
      <c r="D60" s="115"/>
      <c r="E60" s="115"/>
      <c r="F60" s="115"/>
      <c r="G60" s="115"/>
      <c r="H60" s="116"/>
    </row>
    <row r="61" spans="1:14" x14ac:dyDescent="0.25">
      <c r="A61" s="1" t="s">
        <v>1</v>
      </c>
      <c r="B61" s="1"/>
      <c r="C61" s="1" t="s">
        <v>2</v>
      </c>
      <c r="D61" s="1" t="s">
        <v>3</v>
      </c>
      <c r="E61" s="1" t="s">
        <v>4</v>
      </c>
      <c r="F61" s="1" t="s">
        <v>13</v>
      </c>
      <c r="G61" s="1" t="s">
        <v>5</v>
      </c>
      <c r="H61" s="1" t="s">
        <v>6</v>
      </c>
    </row>
    <row r="62" spans="1:14" x14ac:dyDescent="0.25">
      <c r="A62" s="1"/>
      <c r="B62" s="131" t="s">
        <v>37</v>
      </c>
      <c r="C62" s="1"/>
      <c r="D62" s="1"/>
      <c r="E62" s="1" t="s">
        <v>7</v>
      </c>
      <c r="F62" s="1" t="s">
        <v>7</v>
      </c>
      <c r="G62" s="1" t="s">
        <v>7</v>
      </c>
      <c r="H62" s="1" t="s">
        <v>8</v>
      </c>
    </row>
    <row r="63" spans="1:14" x14ac:dyDescent="0.25">
      <c r="A63" s="131">
        <v>1</v>
      </c>
      <c r="B63" s="131" t="s">
        <v>37</v>
      </c>
      <c r="C63" s="133" t="s">
        <v>108</v>
      </c>
      <c r="D63" s="135">
        <v>1</v>
      </c>
      <c r="E63" s="135">
        <f>E53</f>
        <v>26.75</v>
      </c>
      <c r="F63" s="135">
        <f>F53</f>
        <v>31</v>
      </c>
      <c r="G63" s="131">
        <v>0.05</v>
      </c>
      <c r="H63" s="132">
        <f>D63*E63*F63*G63</f>
        <v>41.462500000000006</v>
      </c>
      <c r="J63" s="11"/>
    </row>
    <row r="64" spans="1:14" x14ac:dyDescent="0.25">
      <c r="A64" s="33"/>
      <c r="B64" s="33"/>
      <c r="C64" s="46"/>
      <c r="D64" s="29"/>
      <c r="E64" s="29"/>
      <c r="F64" s="29"/>
      <c r="G64" s="33"/>
      <c r="H64" s="48"/>
      <c r="J64" s="11"/>
    </row>
    <row r="65" spans="1:13" x14ac:dyDescent="0.25">
      <c r="A65" s="33"/>
      <c r="B65" s="33"/>
      <c r="C65" s="46"/>
      <c r="D65" s="29"/>
      <c r="E65" s="29"/>
      <c r="F65" s="29"/>
      <c r="G65" s="33"/>
      <c r="H65" s="48"/>
      <c r="J65" s="11"/>
    </row>
    <row r="66" spans="1:13" x14ac:dyDescent="0.25">
      <c r="A66" s="33"/>
      <c r="B66" s="33"/>
      <c r="C66" s="46"/>
      <c r="D66" s="29"/>
      <c r="E66" s="29"/>
      <c r="F66" s="29"/>
      <c r="G66" s="33"/>
      <c r="H66" s="48"/>
      <c r="J66" s="11"/>
    </row>
    <row r="67" spans="1:13" x14ac:dyDescent="0.25">
      <c r="A67" s="69"/>
      <c r="B67" s="69"/>
      <c r="C67" s="70"/>
      <c r="D67" s="71"/>
      <c r="E67" s="71"/>
      <c r="F67" s="71"/>
      <c r="G67" s="69"/>
      <c r="H67" s="72"/>
      <c r="J67" s="11"/>
    </row>
    <row r="68" spans="1:13" x14ac:dyDescent="0.25">
      <c r="A68" s="7"/>
      <c r="B68" s="7"/>
      <c r="C68" s="16"/>
      <c r="D68" s="7"/>
      <c r="E68" s="11"/>
      <c r="F68" s="11"/>
      <c r="G68" s="11"/>
      <c r="H68" s="13"/>
      <c r="I68" s="142">
        <f>SUM(H63:H67)*1.1</f>
        <v>45.608750000000008</v>
      </c>
      <c r="J68" s="19" t="str">
        <f>A60</f>
        <v>CC1:4:8</v>
      </c>
    </row>
    <row r="69" spans="1:13" x14ac:dyDescent="0.25">
      <c r="A69" s="7"/>
      <c r="B69" s="7"/>
      <c r="C69" s="16"/>
      <c r="D69" s="7"/>
      <c r="E69" s="11"/>
      <c r="F69" s="11"/>
      <c r="G69" s="11"/>
      <c r="H69" s="13"/>
      <c r="I69" s="17"/>
      <c r="J69" s="3"/>
      <c r="K69" s="3"/>
      <c r="M69" s="3"/>
    </row>
    <row r="70" spans="1:13" ht="15.75" x14ac:dyDescent="0.25">
      <c r="A70" s="114" t="s">
        <v>130</v>
      </c>
      <c r="B70" s="115"/>
      <c r="C70" s="115"/>
      <c r="D70" s="115"/>
      <c r="E70" s="115"/>
      <c r="F70" s="115"/>
      <c r="G70" s="115"/>
      <c r="H70" s="116"/>
      <c r="I70" s="11"/>
    </row>
    <row r="71" spans="1:13" x14ac:dyDescent="0.25">
      <c r="A71" s="1" t="s">
        <v>1</v>
      </c>
      <c r="B71" s="1"/>
      <c r="C71" s="1" t="s">
        <v>2</v>
      </c>
      <c r="D71" s="1" t="s">
        <v>3</v>
      </c>
      <c r="E71" s="1" t="s">
        <v>4</v>
      </c>
      <c r="F71" s="1" t="s">
        <v>13</v>
      </c>
      <c r="G71" s="1" t="s">
        <v>5</v>
      </c>
      <c r="H71" s="1" t="s">
        <v>6</v>
      </c>
      <c r="I71" s="11"/>
    </row>
    <row r="72" spans="1:13" x14ac:dyDescent="0.25">
      <c r="A72" s="1"/>
      <c r="B72" s="33" t="s">
        <v>130</v>
      </c>
      <c r="C72" s="100" t="s">
        <v>106</v>
      </c>
      <c r="D72" s="12"/>
      <c r="E72" s="12" t="s">
        <v>7</v>
      </c>
      <c r="F72" s="12" t="s">
        <v>7</v>
      </c>
      <c r="G72" s="12" t="s">
        <v>7</v>
      </c>
      <c r="H72" s="12" t="s">
        <v>8</v>
      </c>
      <c r="I72" s="11"/>
    </row>
    <row r="73" spans="1:13" x14ac:dyDescent="0.25">
      <c r="A73" s="131">
        <v>1</v>
      </c>
      <c r="B73" s="33" t="s">
        <v>130</v>
      </c>
      <c r="C73" s="133" t="s">
        <v>108</v>
      </c>
      <c r="D73" s="135">
        <f>D40</f>
        <v>1</v>
      </c>
      <c r="E73" s="134">
        <f>E53</f>
        <v>26.75</v>
      </c>
      <c r="F73" s="150">
        <f t="shared" ref="F73" si="0">F53</f>
        <v>31</v>
      </c>
      <c r="G73" s="134">
        <f>G53</f>
        <v>0.15</v>
      </c>
      <c r="H73" s="132">
        <f>D73*E73*F73*G73</f>
        <v>124.38749999999999</v>
      </c>
      <c r="I73" s="11"/>
    </row>
    <row r="74" spans="1:13" x14ac:dyDescent="0.25">
      <c r="A74" s="69"/>
      <c r="B74" s="69"/>
      <c r="C74" s="105"/>
      <c r="D74" s="71"/>
      <c r="E74" s="69"/>
      <c r="F74" s="69"/>
      <c r="G74" s="69"/>
      <c r="H74" s="74"/>
      <c r="I74" s="11"/>
    </row>
    <row r="75" spans="1:13" x14ac:dyDescent="0.25">
      <c r="A75" s="7"/>
      <c r="B75" s="7"/>
      <c r="C75" s="16"/>
      <c r="D75" s="7"/>
      <c r="E75" s="11"/>
      <c r="F75" s="11"/>
      <c r="G75" s="11"/>
      <c r="H75" s="13"/>
      <c r="I75" s="141">
        <f>SUM(H73:H74)*1.1</f>
        <v>136.82624999999999</v>
      </c>
      <c r="J75" s="20" t="s">
        <v>38</v>
      </c>
      <c r="K75" s="3"/>
    </row>
    <row r="76" spans="1:13" x14ac:dyDescent="0.25">
      <c r="A76" s="7"/>
      <c r="B76" s="7"/>
      <c r="C76" s="16"/>
      <c r="D76" s="7"/>
      <c r="E76" s="11"/>
      <c r="F76" s="11"/>
      <c r="G76" s="11"/>
      <c r="H76" s="13"/>
      <c r="I76" s="17"/>
      <c r="J76" s="3"/>
      <c r="K76" s="3"/>
    </row>
    <row r="77" spans="1:13" x14ac:dyDescent="0.25">
      <c r="A77" s="21"/>
      <c r="B77" s="21"/>
      <c r="C77" s="22"/>
      <c r="D77" s="21"/>
      <c r="E77" s="23"/>
      <c r="F77" s="23"/>
      <c r="G77" s="21"/>
      <c r="H77" s="21"/>
      <c r="I77" s="101"/>
      <c r="J77" s="102"/>
      <c r="K77" s="3"/>
    </row>
    <row r="78" spans="1:13" ht="15.75" x14ac:dyDescent="0.25">
      <c r="A78" s="114" t="s">
        <v>12</v>
      </c>
      <c r="B78" s="115"/>
      <c r="C78" s="115"/>
      <c r="D78" s="115"/>
      <c r="E78" s="115"/>
      <c r="F78" s="115"/>
      <c r="G78" s="115"/>
      <c r="H78" s="116"/>
    </row>
    <row r="79" spans="1:13" x14ac:dyDescent="0.25">
      <c r="A79" s="1" t="s">
        <v>1</v>
      </c>
      <c r="B79" s="1"/>
      <c r="C79" s="1" t="s">
        <v>2</v>
      </c>
      <c r="D79" s="1" t="s">
        <v>3</v>
      </c>
      <c r="E79" s="1" t="s">
        <v>14</v>
      </c>
      <c r="F79" s="1" t="s">
        <v>9</v>
      </c>
      <c r="G79" s="1" t="s">
        <v>10</v>
      </c>
      <c r="H79" s="1" t="s">
        <v>10</v>
      </c>
    </row>
    <row r="80" spans="1:13" x14ac:dyDescent="0.25">
      <c r="A80" s="1"/>
      <c r="B80" s="131" t="s">
        <v>12</v>
      </c>
      <c r="C80" s="1"/>
      <c r="D80" s="1"/>
      <c r="E80" s="1" t="s">
        <v>15</v>
      </c>
      <c r="F80" s="1" t="s">
        <v>16</v>
      </c>
      <c r="G80" s="1" t="s">
        <v>11</v>
      </c>
      <c r="H80" s="12" t="s">
        <v>89</v>
      </c>
    </row>
    <row r="81" spans="1:10" x14ac:dyDescent="0.25">
      <c r="A81" s="1"/>
      <c r="B81" s="1"/>
      <c r="C81" s="5" t="s">
        <v>12</v>
      </c>
      <c r="D81" s="1"/>
      <c r="E81" s="1"/>
      <c r="F81" s="1"/>
      <c r="G81" s="1"/>
      <c r="H81" s="1"/>
    </row>
    <row r="82" spans="1:10" x14ac:dyDescent="0.25">
      <c r="A82" s="131">
        <v>1</v>
      </c>
      <c r="B82" s="131" t="s">
        <v>12</v>
      </c>
      <c r="C82" s="133" t="s">
        <v>108</v>
      </c>
      <c r="D82" s="131"/>
      <c r="E82" s="138">
        <f>I75</f>
        <v>136.82624999999999</v>
      </c>
      <c r="F82" s="131">
        <v>75</v>
      </c>
      <c r="G82" s="131">
        <f>E82*F82</f>
        <v>10261.968749999998</v>
      </c>
      <c r="H82" s="131">
        <f>G82/1000</f>
        <v>10.261968749999998</v>
      </c>
      <c r="I82" s="9"/>
      <c r="J82" s="9"/>
    </row>
    <row r="83" spans="1:10" x14ac:dyDescent="0.25">
      <c r="A83" s="1"/>
      <c r="B83" s="1"/>
      <c r="C83" s="4"/>
      <c r="D83" s="1"/>
      <c r="E83" s="25"/>
      <c r="F83" s="1"/>
      <c r="G83" s="1"/>
      <c r="H83" s="1"/>
      <c r="I83" s="9"/>
      <c r="J83" s="9"/>
    </row>
    <row r="84" spans="1:10" x14ac:dyDescent="0.25">
      <c r="A84" s="4"/>
      <c r="B84" s="4"/>
      <c r="C84" s="4"/>
      <c r="D84" s="99" t="s">
        <v>18</v>
      </c>
      <c r="E84" s="47">
        <f>SUM(E82:E83)</f>
        <v>136.82624999999999</v>
      </c>
      <c r="F84" s="1"/>
      <c r="G84" s="99">
        <f>SUM(G82:G83)</f>
        <v>10261.968749999998</v>
      </c>
      <c r="H84" s="112">
        <f>SUM(H82:H83)</f>
        <v>10.261968749999998</v>
      </c>
      <c r="I84" s="139">
        <f>H84*1.1</f>
        <v>11.288165624999998</v>
      </c>
      <c r="J84" s="53" t="s">
        <v>24</v>
      </c>
    </row>
    <row r="85" spans="1:10" x14ac:dyDescent="0.25">
      <c r="A85" s="11"/>
      <c r="B85" s="11"/>
      <c r="C85" s="11"/>
      <c r="D85" s="11"/>
      <c r="E85" s="11"/>
      <c r="F85" s="41" t="s">
        <v>17</v>
      </c>
      <c r="G85" s="41">
        <f>H84*1000/E84</f>
        <v>75</v>
      </c>
      <c r="H85" s="11"/>
    </row>
    <row r="86" spans="1:10" x14ac:dyDescent="0.25">
      <c r="A86" s="7"/>
      <c r="B86" s="7"/>
      <c r="C86" s="7"/>
      <c r="D86" s="7"/>
      <c r="E86" s="7"/>
      <c r="F86" s="7"/>
      <c r="G86" s="7"/>
      <c r="H86" s="7"/>
      <c r="I86" s="7"/>
      <c r="J86" s="9"/>
    </row>
    <row r="87" spans="1:10" ht="15.75" x14ac:dyDescent="0.25">
      <c r="A87" s="114" t="s">
        <v>107</v>
      </c>
      <c r="B87" s="115"/>
      <c r="C87" s="115"/>
      <c r="D87" s="115"/>
      <c r="E87" s="115"/>
      <c r="F87" s="115"/>
      <c r="G87" s="115"/>
      <c r="H87" s="116"/>
      <c r="I87" s="9"/>
      <c r="J87" s="9"/>
    </row>
    <row r="88" spans="1:10" x14ac:dyDescent="0.25">
      <c r="A88" s="1" t="s">
        <v>1</v>
      </c>
      <c r="B88" s="1"/>
      <c r="C88" s="1" t="s">
        <v>2</v>
      </c>
      <c r="D88" s="1" t="s">
        <v>3</v>
      </c>
      <c r="E88" s="1" t="s">
        <v>4</v>
      </c>
      <c r="F88" s="1" t="s">
        <v>13</v>
      </c>
      <c r="G88" s="1" t="s">
        <v>5</v>
      </c>
      <c r="H88" s="1" t="s">
        <v>6</v>
      </c>
      <c r="I88" s="9"/>
      <c r="J88" s="9"/>
    </row>
    <row r="89" spans="1:10" x14ac:dyDescent="0.25">
      <c r="A89" s="1"/>
      <c r="B89" s="131" t="s">
        <v>95</v>
      </c>
      <c r="C89" s="1"/>
      <c r="D89" s="1"/>
      <c r="E89" s="1" t="s">
        <v>7</v>
      </c>
      <c r="F89" s="1" t="s">
        <v>7</v>
      </c>
      <c r="G89" s="1" t="s">
        <v>7</v>
      </c>
      <c r="H89" s="1" t="s">
        <v>96</v>
      </c>
      <c r="I89" s="9"/>
      <c r="J89" s="9"/>
    </row>
    <row r="90" spans="1:10" x14ac:dyDescent="0.25">
      <c r="A90" s="131">
        <v>1</v>
      </c>
      <c r="B90" s="131" t="s">
        <v>95</v>
      </c>
      <c r="C90" s="133" t="s">
        <v>108</v>
      </c>
      <c r="D90" s="148">
        <v>6</v>
      </c>
      <c r="E90" s="146">
        <f>2*0.8+2*3</f>
        <v>7.6</v>
      </c>
      <c r="F90" s="144"/>
      <c r="G90" s="131"/>
      <c r="H90" s="143">
        <f>D90*E90</f>
        <v>45.599999999999994</v>
      </c>
      <c r="I90" s="9"/>
      <c r="J90" s="9"/>
    </row>
    <row r="91" spans="1:10" x14ac:dyDescent="0.25">
      <c r="A91" s="33"/>
      <c r="B91" s="33"/>
      <c r="C91" s="46"/>
      <c r="D91" s="106"/>
      <c r="E91" s="89"/>
      <c r="F91" s="107"/>
      <c r="G91" s="33"/>
      <c r="H91" s="58"/>
      <c r="I91" s="9"/>
      <c r="J91" s="9"/>
    </row>
    <row r="92" spans="1:10" x14ac:dyDescent="0.25">
      <c r="A92" s="33"/>
      <c r="B92" s="33"/>
      <c r="C92" s="46"/>
      <c r="D92" s="106"/>
      <c r="E92" s="107"/>
      <c r="F92" s="63"/>
      <c r="G92" s="33"/>
      <c r="H92" s="58"/>
      <c r="I92" s="9"/>
      <c r="J92" s="9"/>
    </row>
    <row r="93" spans="1:10" x14ac:dyDescent="0.25">
      <c r="A93" s="33"/>
      <c r="B93" s="33"/>
      <c r="C93" s="46"/>
      <c r="D93" s="106"/>
      <c r="E93" s="89"/>
      <c r="F93" s="89"/>
      <c r="G93" s="33"/>
      <c r="H93" s="58"/>
      <c r="I93" s="9"/>
      <c r="J93" s="9"/>
    </row>
    <row r="94" spans="1:10" x14ac:dyDescent="0.25">
      <c r="A94" s="69"/>
      <c r="B94" s="69"/>
      <c r="C94" s="70"/>
      <c r="D94" s="69"/>
      <c r="E94" s="69"/>
      <c r="F94" s="69"/>
      <c r="G94" s="69"/>
      <c r="H94" s="83"/>
      <c r="I94" s="139">
        <f>SUM(H90:H94)*1.1</f>
        <v>50.16</v>
      </c>
      <c r="J94" s="53" t="str">
        <f>A87</f>
        <v>ISOTATION JOINT</v>
      </c>
    </row>
    <row r="95" spans="1:10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</row>
    <row r="96" spans="1:10" x14ac:dyDescent="0.25">
      <c r="C96" s="81"/>
      <c r="D96" s="81"/>
      <c r="E96" s="108"/>
      <c r="F96" s="108"/>
    </row>
  </sheetData>
  <mergeCells count="5">
    <mergeCell ref="A1:H1"/>
    <mergeCell ref="A2:H2"/>
    <mergeCell ref="A3:H3"/>
    <mergeCell ref="L38:N38"/>
    <mergeCell ref="C6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"/>
  <sheetViews>
    <sheetView zoomScale="70" zoomScaleNormal="70" workbookViewId="0">
      <selection activeCell="C27" sqref="C27"/>
    </sheetView>
  </sheetViews>
  <sheetFormatPr defaultRowHeight="15" x14ac:dyDescent="0.25"/>
  <cols>
    <col min="1" max="1" width="6" style="2" bestFit="1" customWidth="1"/>
    <col min="2" max="2" width="29.5703125" style="2" bestFit="1" customWidth="1"/>
    <col min="3" max="3" width="37.85546875" style="2" customWidth="1"/>
    <col min="4" max="5" width="9.28515625" style="2" bestFit="1" customWidth="1"/>
    <col min="6" max="6" width="12" style="2" bestFit="1" customWidth="1"/>
    <col min="7" max="8" width="9.28515625" style="2" bestFit="1" customWidth="1"/>
    <col min="9" max="9" width="10.85546875" style="2" bestFit="1" customWidth="1"/>
    <col min="10" max="10" width="21.5703125" style="2" bestFit="1" customWidth="1"/>
    <col min="11" max="11" width="3" style="2" customWidth="1"/>
    <col min="12" max="12" width="29.7109375" style="2" bestFit="1" customWidth="1"/>
    <col min="13" max="13" width="9.42578125" style="2" bestFit="1" customWidth="1"/>
    <col min="14" max="16384" width="9.140625" style="2"/>
  </cols>
  <sheetData>
    <row r="1" spans="1:11" ht="21" x14ac:dyDescent="0.35">
      <c r="A1" s="156" t="s">
        <v>39</v>
      </c>
      <c r="B1" s="156"/>
      <c r="C1" s="156"/>
      <c r="D1" s="156"/>
      <c r="E1" s="156"/>
      <c r="F1" s="156"/>
      <c r="G1" s="156"/>
      <c r="H1" s="156"/>
      <c r="I1" s="42"/>
      <c r="J1" s="42"/>
      <c r="K1" s="98"/>
    </row>
    <row r="2" spans="1:11" ht="21" x14ac:dyDescent="0.35">
      <c r="A2" s="157" t="s">
        <v>71</v>
      </c>
      <c r="B2" s="157"/>
      <c r="C2" s="157"/>
      <c r="D2" s="157"/>
      <c r="E2" s="157"/>
      <c r="F2" s="157"/>
      <c r="G2" s="157"/>
      <c r="H2" s="157"/>
      <c r="I2" s="43"/>
      <c r="J2" s="43"/>
      <c r="K2" s="30"/>
    </row>
    <row r="3" spans="1:11" x14ac:dyDescent="0.25">
      <c r="A3" s="158" t="s">
        <v>78</v>
      </c>
      <c r="B3" s="158"/>
      <c r="C3" s="158"/>
      <c r="D3" s="158"/>
      <c r="E3" s="158"/>
      <c r="F3" s="158"/>
      <c r="G3" s="158"/>
      <c r="H3" s="158"/>
    </row>
    <row r="4" spans="1:11" x14ac:dyDescent="0.25">
      <c r="A4" s="7"/>
      <c r="B4" s="7"/>
      <c r="C4" s="7"/>
      <c r="D4" s="7"/>
      <c r="E4" s="7"/>
      <c r="F4" s="7"/>
      <c r="G4" s="7"/>
      <c r="H4" s="7"/>
    </row>
    <row r="5" spans="1:11" x14ac:dyDescent="0.25">
      <c r="A5" s="7"/>
      <c r="B5" s="7"/>
      <c r="F5" s="7"/>
      <c r="G5" s="7"/>
      <c r="H5" s="7"/>
    </row>
    <row r="6" spans="1:11" x14ac:dyDescent="0.25">
      <c r="A6" s="7"/>
      <c r="B6" s="7"/>
      <c r="C6" s="168" t="s">
        <v>76</v>
      </c>
      <c r="D6" s="168"/>
      <c r="E6" s="168"/>
      <c r="F6" s="7"/>
      <c r="G6" s="7"/>
      <c r="H6" s="7"/>
    </row>
    <row r="7" spans="1:11" x14ac:dyDescent="0.25">
      <c r="A7" s="7"/>
      <c r="B7" s="7"/>
      <c r="C7" s="49" t="s">
        <v>0</v>
      </c>
      <c r="D7" s="95">
        <f>SUMIF($B$34:$B$144,C7,$H$34:$H$144)*1.1</f>
        <v>74.697287500000002</v>
      </c>
      <c r="E7" s="36" t="str">
        <f>INDEX($H$34:$H$145,MATCH(C7,$B$34:$B$145,0))</f>
        <v>(cu-m)</v>
      </c>
      <c r="F7" s="7"/>
      <c r="G7" s="7"/>
      <c r="H7" s="7"/>
    </row>
    <row r="8" spans="1:11" x14ac:dyDescent="0.25">
      <c r="A8" s="7"/>
      <c r="B8" s="7"/>
      <c r="C8" s="49" t="s">
        <v>37</v>
      </c>
      <c r="D8" s="95">
        <f>SUMIF($B$34:$B$144,C8,$H$34:$H$144)*1.1</f>
        <v>3.1143749999999999</v>
      </c>
      <c r="E8" s="36" t="str">
        <f>INDEX($H$34:$H$145,MATCH(C8,$B$34:$B$145,0))</f>
        <v>(cu-m)</v>
      </c>
      <c r="F8" s="7"/>
      <c r="G8" s="7"/>
      <c r="H8" s="7"/>
    </row>
    <row r="9" spans="1:11" x14ac:dyDescent="0.25">
      <c r="A9" s="7"/>
      <c r="B9" s="7"/>
      <c r="C9" s="153" t="s">
        <v>32</v>
      </c>
      <c r="D9" s="51"/>
      <c r="E9" s="1"/>
      <c r="F9" s="7"/>
      <c r="G9" s="7"/>
      <c r="H9" s="7"/>
    </row>
    <row r="10" spans="1:11" x14ac:dyDescent="0.25">
      <c r="A10" s="7"/>
      <c r="B10" s="7"/>
      <c r="C10" s="33" t="s">
        <v>38</v>
      </c>
      <c r="D10" s="95">
        <f>SUMIF($B$34:$B$144,C10,$H$34:$H$144)*1.1</f>
        <v>66.708188800000002</v>
      </c>
      <c r="E10" s="36" t="str">
        <f>INDEX($H$34:$H$145,MATCH(C10,$B$34:$B$145,0))</f>
        <v>(cu-m)</v>
      </c>
      <c r="F10" s="7"/>
      <c r="G10" s="7"/>
      <c r="H10" s="7"/>
    </row>
    <row r="11" spans="1:11" x14ac:dyDescent="0.25">
      <c r="A11" s="7"/>
      <c r="B11" s="7"/>
      <c r="C11" s="33" t="s">
        <v>21</v>
      </c>
      <c r="D11" s="95">
        <f>SUMIF($B$34:$B$144,C11,$H$34:$H$144)*1.1</f>
        <v>130.45758000000001</v>
      </c>
      <c r="E11" s="36" t="str">
        <f>INDEX($H$34:$H$145,MATCH(C11,$B$34:$B$145,0))</f>
        <v>(Sq-m)</v>
      </c>
      <c r="F11" s="7"/>
      <c r="G11" s="7"/>
      <c r="H11" s="7"/>
    </row>
    <row r="12" spans="1:11" x14ac:dyDescent="0.25">
      <c r="A12" s="7"/>
      <c r="B12" s="7"/>
      <c r="C12" s="33"/>
      <c r="D12" s="95"/>
      <c r="E12" s="36"/>
      <c r="F12" s="7"/>
      <c r="G12" s="7"/>
      <c r="H12" s="7"/>
    </row>
    <row r="13" spans="1:11" x14ac:dyDescent="0.25">
      <c r="A13" s="7"/>
      <c r="B13" s="7"/>
      <c r="C13" s="29" t="s">
        <v>12</v>
      </c>
      <c r="D13" s="95">
        <f>SUMIF($B$34:$B$144,C13,$H$34:$H$144)*1.1</f>
        <v>7.3379007679999999</v>
      </c>
      <c r="E13" s="36" t="str">
        <f>INDEX($H$34:$H$145,MATCH(C13,$B$34:$B$145,0))</f>
        <v>Ton</v>
      </c>
      <c r="F13" s="7"/>
      <c r="G13" s="7"/>
      <c r="H13" s="7"/>
    </row>
    <row r="14" spans="1:11" x14ac:dyDescent="0.25">
      <c r="A14" s="7"/>
      <c r="B14" s="7"/>
      <c r="C14" s="33" t="s">
        <v>41</v>
      </c>
      <c r="D14" s="95">
        <f>SUMIF($B$34:$B$144,C14,$H$34:$H$144)*1.1</f>
        <v>2.705384000000001E-2</v>
      </c>
      <c r="E14" s="36" t="str">
        <f>INDEX($H$34:$H$145,MATCH(C14,$B$34:$B$145,0))</f>
        <v>(cu-m)</v>
      </c>
      <c r="F14" s="7"/>
      <c r="G14" s="7"/>
      <c r="H14" s="7"/>
    </row>
    <row r="15" spans="1:11" x14ac:dyDescent="0.25">
      <c r="A15" s="7"/>
      <c r="B15" s="7"/>
      <c r="C15" s="33" t="s">
        <v>35</v>
      </c>
      <c r="D15" s="95">
        <f>SUMIF($B$34:$B$144,C15,$H$34:$H$144)*1.1</f>
        <v>102.96000000000002</v>
      </c>
      <c r="E15" s="36" t="str">
        <f>INDEX($H$34:$H$145,MATCH(C15,$B$34:$B$145,0))</f>
        <v>(kg)</v>
      </c>
      <c r="F15" s="7"/>
      <c r="G15" s="7"/>
      <c r="H15" s="7"/>
    </row>
    <row r="16" spans="1:11" x14ac:dyDescent="0.25">
      <c r="A16" s="7"/>
      <c r="B16" s="7"/>
      <c r="C16" s="33" t="s">
        <v>97</v>
      </c>
      <c r="D16" s="95">
        <f>SUMIF($B$34:$B$144,C16,$H$34:$H$144)*1.1</f>
        <v>94.004064000000028</v>
      </c>
      <c r="E16" s="36" t="str">
        <f>INDEX($H$34:$H$145,MATCH(C16,$B$34:$B$145,0))</f>
        <v>(KG)</v>
      </c>
      <c r="F16" s="7"/>
      <c r="G16" s="7"/>
      <c r="H16" s="7"/>
    </row>
    <row r="17" spans="1:8" x14ac:dyDescent="0.25">
      <c r="A17" s="7"/>
      <c r="B17" s="7"/>
      <c r="C17" s="7"/>
      <c r="D17" s="7"/>
      <c r="E17" s="7"/>
      <c r="F17" s="7"/>
      <c r="G17" s="7"/>
      <c r="H17" s="7"/>
    </row>
    <row r="18" spans="1:8" x14ac:dyDescent="0.25">
      <c r="A18" s="7"/>
      <c r="B18" s="7"/>
      <c r="C18" s="7"/>
      <c r="D18" s="7"/>
      <c r="E18" s="7"/>
      <c r="F18" s="7"/>
      <c r="G18" s="7"/>
      <c r="H18" s="7"/>
    </row>
    <row r="19" spans="1:8" x14ac:dyDescent="0.25">
      <c r="A19" s="7"/>
      <c r="B19" s="7"/>
      <c r="C19" s="7"/>
      <c r="D19" s="7"/>
      <c r="E19" s="7"/>
      <c r="F19" s="7"/>
      <c r="G19" s="7"/>
      <c r="H19" s="7"/>
    </row>
    <row r="20" spans="1:8" x14ac:dyDescent="0.25">
      <c r="A20" s="7"/>
      <c r="B20" s="7"/>
      <c r="C20" s="7"/>
      <c r="D20" s="7"/>
      <c r="E20" s="7"/>
      <c r="F20" s="7"/>
      <c r="G20" s="7"/>
      <c r="H20" s="7"/>
    </row>
    <row r="21" spans="1:8" x14ac:dyDescent="0.25">
      <c r="A21" s="7"/>
      <c r="B21" s="7"/>
      <c r="C21" s="7"/>
      <c r="D21" s="7"/>
      <c r="E21" s="7"/>
      <c r="F21" s="7"/>
      <c r="G21" s="7"/>
      <c r="H21" s="7"/>
    </row>
    <row r="22" spans="1:8" x14ac:dyDescent="0.25">
      <c r="A22" s="7"/>
      <c r="B22" s="7"/>
      <c r="C22" s="7"/>
      <c r="D22" s="7"/>
      <c r="E22" s="7"/>
      <c r="F22" s="7"/>
      <c r="G22" s="7"/>
      <c r="H22" s="7"/>
    </row>
    <row r="23" spans="1:8" x14ac:dyDescent="0.25">
      <c r="A23" s="7"/>
      <c r="B23" s="7"/>
      <c r="C23" s="7"/>
      <c r="D23" s="7"/>
      <c r="E23" s="7"/>
      <c r="F23" s="7"/>
      <c r="G23" s="7"/>
      <c r="H23" s="7"/>
    </row>
    <row r="24" spans="1:8" x14ac:dyDescent="0.25">
      <c r="A24" s="7"/>
      <c r="B24" s="7"/>
      <c r="C24" s="7"/>
      <c r="D24" s="7"/>
      <c r="E24" s="7"/>
      <c r="F24" s="7"/>
      <c r="G24" s="7"/>
      <c r="H24" s="7"/>
    </row>
    <row r="25" spans="1:8" x14ac:dyDescent="0.25">
      <c r="A25" s="7"/>
      <c r="B25" s="7"/>
      <c r="C25" s="7"/>
      <c r="D25" s="7"/>
      <c r="E25" s="7"/>
      <c r="F25" s="7"/>
      <c r="G25" s="7"/>
      <c r="H25" s="7"/>
    </row>
    <row r="26" spans="1:8" x14ac:dyDescent="0.25">
      <c r="A26" s="7"/>
      <c r="B26" s="7"/>
      <c r="C26" s="7"/>
      <c r="D26" s="7"/>
      <c r="E26" s="7"/>
      <c r="F26" s="7"/>
      <c r="G26" s="7"/>
      <c r="H26" s="7"/>
    </row>
    <row r="27" spans="1:8" x14ac:dyDescent="0.25">
      <c r="A27" s="7"/>
      <c r="B27" s="7"/>
      <c r="C27" s="7"/>
      <c r="D27" s="7"/>
      <c r="E27" s="7"/>
      <c r="F27" s="7"/>
      <c r="G27" s="7"/>
      <c r="H27" s="7"/>
    </row>
    <row r="28" spans="1:8" x14ac:dyDescent="0.25">
      <c r="A28" s="7"/>
      <c r="B28" s="7"/>
      <c r="C28" s="7"/>
      <c r="D28" s="7"/>
      <c r="E28" s="7"/>
      <c r="F28" s="7"/>
      <c r="G28" s="7"/>
      <c r="H28" s="7"/>
    </row>
    <row r="29" spans="1:8" x14ac:dyDescent="0.25">
      <c r="A29" s="7"/>
      <c r="B29" s="7"/>
      <c r="C29" s="7"/>
      <c r="D29" s="7"/>
      <c r="E29" s="7"/>
      <c r="F29" s="7"/>
      <c r="G29" s="7"/>
      <c r="H29" s="7"/>
    </row>
    <row r="30" spans="1:8" x14ac:dyDescent="0.25">
      <c r="A30" s="7"/>
      <c r="B30" s="7"/>
      <c r="C30" s="7"/>
      <c r="D30" s="7"/>
      <c r="E30" s="7"/>
      <c r="F30" s="7"/>
      <c r="G30" s="7"/>
      <c r="H30" s="7"/>
    </row>
    <row r="31" spans="1:8" x14ac:dyDescent="0.25">
      <c r="A31" s="7"/>
      <c r="B31" s="7"/>
      <c r="C31" s="7"/>
      <c r="D31" s="7"/>
      <c r="E31" s="7"/>
      <c r="F31" s="7"/>
      <c r="G31" s="7"/>
      <c r="H31" s="7"/>
    </row>
    <row r="32" spans="1:8" x14ac:dyDescent="0.25">
      <c r="A32" s="7"/>
      <c r="B32" s="7"/>
      <c r="C32" s="7"/>
      <c r="D32" s="7"/>
      <c r="E32" s="7"/>
      <c r="F32" s="7"/>
      <c r="G32" s="7"/>
      <c r="H32" s="7"/>
    </row>
    <row r="33" spans="1:14" x14ac:dyDescent="0.25">
      <c r="A33" s="7"/>
      <c r="B33" s="7"/>
      <c r="C33" s="7"/>
      <c r="D33" s="7"/>
      <c r="E33" s="7"/>
      <c r="F33" s="7"/>
      <c r="G33" s="7"/>
      <c r="H33" s="7"/>
    </row>
    <row r="34" spans="1:14" x14ac:dyDescent="0.25">
      <c r="A34" s="7"/>
      <c r="B34" s="7"/>
      <c r="C34" s="7"/>
      <c r="D34" s="7"/>
      <c r="E34" s="7"/>
      <c r="F34" s="7"/>
      <c r="G34" s="7"/>
      <c r="H34" s="7"/>
    </row>
    <row r="35" spans="1:14" x14ac:dyDescent="0.25">
      <c r="A35" s="7"/>
      <c r="B35" s="7"/>
      <c r="C35" s="7"/>
      <c r="D35" s="7"/>
      <c r="E35" s="7"/>
      <c r="F35" s="7"/>
      <c r="G35" s="7"/>
      <c r="H35" s="7"/>
    </row>
    <row r="36" spans="1:14" x14ac:dyDescent="0.25">
      <c r="A36" s="7"/>
      <c r="B36" s="7"/>
      <c r="C36" s="7"/>
      <c r="D36" s="7"/>
      <c r="E36" s="7"/>
      <c r="F36" s="7"/>
      <c r="G36" s="7"/>
      <c r="H36" s="7"/>
    </row>
    <row r="37" spans="1:14" ht="16.5" thickBot="1" x14ac:dyDescent="0.3">
      <c r="A37" s="118" t="s">
        <v>0</v>
      </c>
      <c r="B37" s="119"/>
      <c r="C37" s="119"/>
      <c r="D37" s="119"/>
      <c r="E37" s="119"/>
      <c r="F37" s="119"/>
      <c r="G37" s="119"/>
      <c r="H37" s="120"/>
    </row>
    <row r="38" spans="1:14" ht="15.75" thickBot="1" x14ac:dyDescent="0.3">
      <c r="A38" s="64" t="s">
        <v>1</v>
      </c>
      <c r="B38" s="122"/>
      <c r="C38" s="65" t="s">
        <v>2</v>
      </c>
      <c r="D38" s="65" t="s">
        <v>3</v>
      </c>
      <c r="E38" s="65" t="s">
        <v>33</v>
      </c>
      <c r="F38" s="65" t="s">
        <v>34</v>
      </c>
      <c r="G38" s="65" t="s">
        <v>5</v>
      </c>
      <c r="H38" s="66" t="s">
        <v>6</v>
      </c>
      <c r="L38" s="168" t="s">
        <v>76</v>
      </c>
      <c r="M38" s="168"/>
      <c r="N38" s="168"/>
    </row>
    <row r="39" spans="1:14" x14ac:dyDescent="0.25">
      <c r="A39" s="67"/>
      <c r="B39" s="131" t="s">
        <v>0</v>
      </c>
      <c r="C39" s="68"/>
      <c r="D39" s="67"/>
      <c r="E39" s="67" t="s">
        <v>7</v>
      </c>
      <c r="F39" s="67" t="s">
        <v>7</v>
      </c>
      <c r="G39" s="67" t="s">
        <v>7</v>
      </c>
      <c r="H39" s="67" t="s">
        <v>8</v>
      </c>
      <c r="L39" s="33" t="str">
        <f>A37</f>
        <v>EXCAVATION</v>
      </c>
      <c r="M39" s="55">
        <f>I44</f>
        <v>74.697287500000002</v>
      </c>
      <c r="N39" s="1" t="s">
        <v>20</v>
      </c>
    </row>
    <row r="40" spans="1:14" x14ac:dyDescent="0.25">
      <c r="A40" s="131">
        <v>1</v>
      </c>
      <c r="B40" s="131" t="str">
        <f>A37</f>
        <v>EXCAVATION</v>
      </c>
      <c r="C40" s="133" t="s">
        <v>109</v>
      </c>
      <c r="D40" s="131">
        <v>1</v>
      </c>
      <c r="E40" s="131">
        <f>2.3+0.15</f>
        <v>2.4499999999999997</v>
      </c>
      <c r="F40" s="131">
        <f>2.3+0.15</f>
        <v>2.4499999999999997</v>
      </c>
      <c r="G40" s="131">
        <f>1.45+0.4+0.075</f>
        <v>1.925</v>
      </c>
      <c r="H40" s="132">
        <f>D40*E40*F40*G40</f>
        <v>11.554812499999997</v>
      </c>
      <c r="I40" s="34"/>
      <c r="J40" s="35"/>
      <c r="L40" s="33" t="str">
        <f>A46</f>
        <v>CC 1 : 4 : 8</v>
      </c>
      <c r="M40" s="55">
        <f>I51</f>
        <v>3.1143749999999999</v>
      </c>
      <c r="N40" s="1" t="s">
        <v>20</v>
      </c>
    </row>
    <row r="41" spans="1:14" x14ac:dyDescent="0.25">
      <c r="A41" s="131">
        <v>2</v>
      </c>
      <c r="B41" s="131" t="str">
        <f>A37</f>
        <v>EXCAVATION</v>
      </c>
      <c r="C41" s="133" t="s">
        <v>110</v>
      </c>
      <c r="D41" s="131">
        <v>3</v>
      </c>
      <c r="E41" s="135">
        <f>4+0.15</f>
        <v>4.1500000000000004</v>
      </c>
      <c r="F41" s="135">
        <f>2.4+0.15</f>
        <v>2.5499999999999998</v>
      </c>
      <c r="G41" s="131">
        <f>1.7+0.075</f>
        <v>1.7749999999999999</v>
      </c>
      <c r="H41" s="132">
        <f>D41*E41*F41*G41</f>
        <v>56.351812500000001</v>
      </c>
      <c r="I41" s="34"/>
      <c r="J41" s="35"/>
      <c r="L41" s="99" t="s">
        <v>32</v>
      </c>
      <c r="M41" s="51"/>
      <c r="N41" s="1"/>
    </row>
    <row r="42" spans="1:14" x14ac:dyDescent="0.25">
      <c r="A42" s="69"/>
      <c r="B42" s="69"/>
      <c r="C42" s="70"/>
      <c r="D42" s="69"/>
      <c r="E42" s="69"/>
      <c r="F42" s="69"/>
      <c r="G42" s="69"/>
      <c r="H42" s="72"/>
      <c r="I42" s="34"/>
      <c r="J42" s="35"/>
      <c r="L42" s="33" t="str">
        <f>A53</f>
        <v>RCC 3750 PSI</v>
      </c>
      <c r="M42" s="55">
        <f>I61</f>
        <v>66.708188800000002</v>
      </c>
      <c r="N42" s="1" t="s">
        <v>20</v>
      </c>
    </row>
    <row r="43" spans="1:14" x14ac:dyDescent="0.25">
      <c r="A43" s="69"/>
      <c r="B43" s="69"/>
      <c r="C43" s="78"/>
      <c r="D43" s="69"/>
      <c r="E43" s="76"/>
      <c r="F43" s="76"/>
      <c r="G43" s="76"/>
      <c r="H43" s="77"/>
      <c r="L43" s="33" t="str">
        <f>A91</f>
        <v>ANCHOR BOLTS</v>
      </c>
      <c r="M43" s="55">
        <f>I96</f>
        <v>102.96000000000002</v>
      </c>
      <c r="N43" s="1" t="s">
        <v>36</v>
      </c>
    </row>
    <row r="44" spans="1:14" x14ac:dyDescent="0.25">
      <c r="A44" s="69"/>
      <c r="B44" s="69"/>
      <c r="C44" s="78"/>
      <c r="D44" s="69"/>
      <c r="E44" s="76"/>
      <c r="F44" s="76"/>
      <c r="G44" s="76"/>
      <c r="H44" s="77"/>
      <c r="I44" s="142">
        <f>SUM(H40:H43)*1.1</f>
        <v>74.697287500000002</v>
      </c>
      <c r="J44" s="19" t="s">
        <v>19</v>
      </c>
      <c r="K44" s="3"/>
      <c r="L44" s="79"/>
      <c r="M44" s="110"/>
      <c r="N44" s="79"/>
    </row>
    <row r="45" spans="1:14" x14ac:dyDescent="0.25">
      <c r="A45" s="79"/>
      <c r="B45" s="79"/>
      <c r="C45" s="80"/>
      <c r="D45" s="79"/>
      <c r="E45" s="81"/>
      <c r="F45" s="81"/>
      <c r="G45" s="81"/>
      <c r="H45" s="82"/>
      <c r="I45" s="6"/>
      <c r="J45" s="3"/>
      <c r="K45" s="3"/>
      <c r="L45" s="79"/>
      <c r="M45" s="90"/>
      <c r="N45" s="111"/>
    </row>
    <row r="46" spans="1:14" ht="15.75" x14ac:dyDescent="0.25">
      <c r="A46" s="114" t="s">
        <v>37</v>
      </c>
      <c r="B46" s="115"/>
      <c r="C46" s="115"/>
      <c r="D46" s="115"/>
      <c r="E46" s="115"/>
      <c r="F46" s="115"/>
      <c r="G46" s="115"/>
      <c r="H46" s="116"/>
      <c r="L46" s="7"/>
      <c r="M46" s="92"/>
      <c r="N46" s="7"/>
    </row>
    <row r="47" spans="1:14" x14ac:dyDescent="0.25">
      <c r="A47" s="1" t="s">
        <v>1</v>
      </c>
      <c r="B47" s="1"/>
      <c r="C47" s="1" t="s">
        <v>2</v>
      </c>
      <c r="D47" s="1" t="s">
        <v>3</v>
      </c>
      <c r="E47" s="1" t="s">
        <v>4</v>
      </c>
      <c r="F47" s="1" t="s">
        <v>13</v>
      </c>
      <c r="G47" s="1" t="s">
        <v>5</v>
      </c>
      <c r="H47" s="1" t="s">
        <v>6</v>
      </c>
      <c r="L47" s="7"/>
      <c r="M47" s="92"/>
      <c r="N47" s="7"/>
    </row>
    <row r="48" spans="1:14" x14ac:dyDescent="0.25">
      <c r="A48" s="1"/>
      <c r="B48" s="1" t="s">
        <v>37</v>
      </c>
      <c r="C48" s="1"/>
      <c r="D48" s="1"/>
      <c r="E48" s="1" t="s">
        <v>7</v>
      </c>
      <c r="F48" s="1" t="s">
        <v>7</v>
      </c>
      <c r="G48" s="1" t="s">
        <v>7</v>
      </c>
      <c r="H48" s="1" t="s">
        <v>8</v>
      </c>
      <c r="L48" s="7"/>
    </row>
    <row r="49" spans="1:13" x14ac:dyDescent="0.25">
      <c r="A49" s="131">
        <v>1</v>
      </c>
      <c r="B49" s="131" t="s">
        <v>37</v>
      </c>
      <c r="C49" s="133" t="str">
        <f t="shared" ref="C49:C50" si="0">C40</f>
        <v>F1</v>
      </c>
      <c r="D49" s="135">
        <f>D40</f>
        <v>1</v>
      </c>
      <c r="E49" s="135">
        <f t="shared" ref="E49:F50" si="1">E40</f>
        <v>2.4499999999999997</v>
      </c>
      <c r="F49" s="135">
        <f t="shared" si="1"/>
        <v>2.4499999999999997</v>
      </c>
      <c r="G49" s="131">
        <v>7.4999999999999997E-2</v>
      </c>
      <c r="H49" s="132">
        <f>D49*E49*F49*G49</f>
        <v>0.45018749999999985</v>
      </c>
      <c r="J49" s="11"/>
      <c r="K49" s="11"/>
      <c r="L49" s="13"/>
    </row>
    <row r="50" spans="1:13" x14ac:dyDescent="0.25">
      <c r="A50" s="131">
        <v>2</v>
      </c>
      <c r="B50" s="131" t="s">
        <v>37</v>
      </c>
      <c r="C50" s="133" t="str">
        <f t="shared" si="0"/>
        <v>F2</v>
      </c>
      <c r="D50" s="135">
        <f>D41</f>
        <v>3</v>
      </c>
      <c r="E50" s="135">
        <f t="shared" si="1"/>
        <v>4.1500000000000004</v>
      </c>
      <c r="F50" s="135">
        <f t="shared" si="1"/>
        <v>2.5499999999999998</v>
      </c>
      <c r="G50" s="131">
        <v>7.4999999999999997E-2</v>
      </c>
      <c r="H50" s="132">
        <f>D50*E50*F50*G50</f>
        <v>2.3810625000000001</v>
      </c>
      <c r="J50" s="11"/>
      <c r="K50" s="11"/>
      <c r="L50" s="13"/>
    </row>
    <row r="51" spans="1:13" x14ac:dyDescent="0.25">
      <c r="A51" s="1"/>
      <c r="B51" s="1"/>
      <c r="C51" s="5"/>
      <c r="D51" s="1"/>
      <c r="E51" s="4"/>
      <c r="F51" s="4"/>
      <c r="G51" s="4"/>
      <c r="H51" s="15"/>
      <c r="I51" s="142">
        <f>SUM(H49:H50)*1.1</f>
        <v>3.1143749999999999</v>
      </c>
      <c r="J51" s="19" t="s">
        <v>37</v>
      </c>
    </row>
    <row r="52" spans="1:13" x14ac:dyDescent="0.25">
      <c r="A52" s="7"/>
      <c r="B52" s="7"/>
      <c r="C52" s="16"/>
      <c r="D52" s="7"/>
      <c r="E52" s="11"/>
      <c r="F52" s="11"/>
      <c r="G52" s="11"/>
      <c r="H52" s="13"/>
      <c r="I52" s="17"/>
      <c r="J52" s="3"/>
      <c r="K52" s="3"/>
      <c r="M52" s="3"/>
    </row>
    <row r="53" spans="1:13" ht="15.75" x14ac:dyDescent="0.25">
      <c r="A53" s="114" t="s">
        <v>38</v>
      </c>
      <c r="B53" s="115"/>
      <c r="C53" s="115"/>
      <c r="D53" s="115"/>
      <c r="E53" s="115"/>
      <c r="F53" s="115"/>
      <c r="G53" s="115"/>
      <c r="H53" s="116"/>
      <c r="I53" s="11"/>
    </row>
    <row r="54" spans="1:13" x14ac:dyDescent="0.25">
      <c r="A54" s="1" t="s">
        <v>1</v>
      </c>
      <c r="B54" s="1"/>
      <c r="C54" s="1" t="s">
        <v>2</v>
      </c>
      <c r="D54" s="1" t="s">
        <v>3</v>
      </c>
      <c r="E54" s="1" t="s">
        <v>4</v>
      </c>
      <c r="F54" s="1" t="s">
        <v>13</v>
      </c>
      <c r="G54" s="1" t="s">
        <v>5</v>
      </c>
      <c r="H54" s="1" t="s">
        <v>6</v>
      </c>
      <c r="I54" s="11"/>
    </row>
    <row r="55" spans="1:13" x14ac:dyDescent="0.25">
      <c r="A55" s="1"/>
      <c r="B55" s="131" t="s">
        <v>38</v>
      </c>
      <c r="C55" s="100" t="s">
        <v>51</v>
      </c>
      <c r="D55" s="12"/>
      <c r="E55" s="12" t="s">
        <v>7</v>
      </c>
      <c r="F55" s="12" t="s">
        <v>7</v>
      </c>
      <c r="G55" s="12" t="s">
        <v>7</v>
      </c>
      <c r="H55" s="12" t="s">
        <v>8</v>
      </c>
      <c r="I55" s="11"/>
    </row>
    <row r="56" spans="1:13" x14ac:dyDescent="0.25">
      <c r="A56" s="131">
        <v>1</v>
      </c>
      <c r="B56" s="131" t="s">
        <v>38</v>
      </c>
      <c r="C56" s="133" t="str">
        <f>C40</f>
        <v>F1</v>
      </c>
      <c r="D56" s="135">
        <f>D40</f>
        <v>1</v>
      </c>
      <c r="E56" s="135">
        <f>E40-0.15</f>
        <v>2.2999999999999998</v>
      </c>
      <c r="F56" s="135">
        <f>F40-0.15</f>
        <v>2.2999999999999998</v>
      </c>
      <c r="G56" s="131">
        <v>0.4</v>
      </c>
      <c r="H56" s="132">
        <f>D56*E56*F56*G56</f>
        <v>2.1159999999999997</v>
      </c>
      <c r="I56" s="11"/>
    </row>
    <row r="57" spans="1:13" x14ac:dyDescent="0.25">
      <c r="A57" s="131">
        <v>2</v>
      </c>
      <c r="B57" s="131" t="s">
        <v>38</v>
      </c>
      <c r="C57" s="133" t="str">
        <f>C41</f>
        <v>F2</v>
      </c>
      <c r="D57" s="135">
        <f>D41</f>
        <v>3</v>
      </c>
      <c r="E57" s="135">
        <f>E41-0.15</f>
        <v>4</v>
      </c>
      <c r="F57" s="135">
        <f>F41-0.15</f>
        <v>2.4</v>
      </c>
      <c r="G57" s="131">
        <f>1.7+0.3</f>
        <v>2</v>
      </c>
      <c r="H57" s="132">
        <f>D57*E57*F57*G57</f>
        <v>57.599999999999994</v>
      </c>
      <c r="I57" s="11"/>
    </row>
    <row r="58" spans="1:13" x14ac:dyDescent="0.25">
      <c r="A58" s="69"/>
      <c r="B58" s="69"/>
      <c r="C58" s="100" t="s">
        <v>52</v>
      </c>
      <c r="D58" s="69"/>
      <c r="E58" s="69"/>
      <c r="F58" s="69"/>
      <c r="G58" s="69"/>
      <c r="H58" s="74"/>
      <c r="I58" s="11"/>
    </row>
    <row r="59" spans="1:13" x14ac:dyDescent="0.25">
      <c r="A59" s="131">
        <v>1</v>
      </c>
      <c r="B59" s="131" t="s">
        <v>38</v>
      </c>
      <c r="C59" s="133" t="str">
        <f>C49</f>
        <v>F1</v>
      </c>
      <c r="D59" s="135">
        <v>1</v>
      </c>
      <c r="E59" s="175">
        <f>0.8284*(0.8)^2</f>
        <v>0.53017600000000009</v>
      </c>
      <c r="F59" s="176"/>
      <c r="G59" s="131">
        <f>1.45+0.3</f>
        <v>1.75</v>
      </c>
      <c r="H59" s="132">
        <f>D59*E59*G59</f>
        <v>0.92780800000000019</v>
      </c>
      <c r="I59" s="11"/>
    </row>
    <row r="60" spans="1:13" x14ac:dyDescent="0.25">
      <c r="A60" s="33"/>
      <c r="B60" s="33"/>
      <c r="C60" s="46"/>
      <c r="D60" s="29"/>
      <c r="E60" s="33"/>
      <c r="F60" s="33"/>
      <c r="G60" s="33"/>
      <c r="H60" s="48"/>
      <c r="I60" s="11"/>
    </row>
    <row r="61" spans="1:13" x14ac:dyDescent="0.25">
      <c r="A61" s="1"/>
      <c r="B61" s="1"/>
      <c r="C61" s="5"/>
      <c r="D61" s="1"/>
      <c r="E61" s="4"/>
      <c r="F61" s="4"/>
      <c r="G61" s="4"/>
      <c r="H61" s="15"/>
      <c r="I61" s="141">
        <f>SUM(H56:H60)*1.1</f>
        <v>66.708188800000002</v>
      </c>
      <c r="J61" s="20" t="s">
        <v>38</v>
      </c>
      <c r="K61" s="3"/>
    </row>
    <row r="62" spans="1:13" x14ac:dyDescent="0.25">
      <c r="A62" s="7"/>
      <c r="B62" s="7"/>
      <c r="C62" s="16"/>
      <c r="D62" s="7"/>
      <c r="E62" s="11"/>
      <c r="F62" s="11"/>
      <c r="G62" s="11"/>
      <c r="H62" s="13"/>
      <c r="I62" s="17"/>
      <c r="J62" s="3"/>
      <c r="K62" s="3"/>
    </row>
    <row r="63" spans="1:13" ht="15.75" x14ac:dyDescent="0.25">
      <c r="A63" s="114" t="s">
        <v>21</v>
      </c>
      <c r="B63" s="115"/>
      <c r="C63" s="115"/>
      <c r="D63" s="115"/>
      <c r="E63" s="115"/>
      <c r="F63" s="115"/>
      <c r="G63" s="115"/>
      <c r="H63" s="116"/>
      <c r="I63" s="3"/>
      <c r="J63" s="3"/>
      <c r="K63" s="3"/>
    </row>
    <row r="64" spans="1:13" x14ac:dyDescent="0.25">
      <c r="A64" s="1" t="s">
        <v>1</v>
      </c>
      <c r="B64" s="1"/>
      <c r="C64" s="1" t="s">
        <v>2</v>
      </c>
      <c r="D64" s="1" t="s">
        <v>3</v>
      </c>
      <c r="E64" s="1" t="s">
        <v>4</v>
      </c>
      <c r="F64" s="1" t="s">
        <v>13</v>
      </c>
      <c r="G64" s="1" t="s">
        <v>5</v>
      </c>
      <c r="H64" s="1" t="s">
        <v>6</v>
      </c>
      <c r="I64" s="3"/>
      <c r="J64" s="3"/>
      <c r="K64" s="3"/>
    </row>
    <row r="65" spans="1:11" x14ac:dyDescent="0.25">
      <c r="A65" s="1"/>
      <c r="B65" s="1" t="s">
        <v>21</v>
      </c>
      <c r="C65" s="1"/>
      <c r="D65" s="1"/>
      <c r="E65" s="1" t="s">
        <v>7</v>
      </c>
      <c r="F65" s="1" t="s">
        <v>7</v>
      </c>
      <c r="G65" s="1" t="s">
        <v>7</v>
      </c>
      <c r="H65" s="1" t="s">
        <v>22</v>
      </c>
      <c r="I65" s="3"/>
      <c r="J65" s="3"/>
      <c r="K65" s="3"/>
    </row>
    <row r="66" spans="1:11" x14ac:dyDescent="0.25">
      <c r="A66" s="131">
        <v>1</v>
      </c>
      <c r="B66" s="131" t="s">
        <v>21</v>
      </c>
      <c r="C66" s="133" t="s">
        <v>111</v>
      </c>
      <c r="D66" s="135">
        <v>1</v>
      </c>
      <c r="E66" s="169">
        <f>2*E56+2*F56</f>
        <v>9.1999999999999993</v>
      </c>
      <c r="F66" s="170"/>
      <c r="G66" s="135">
        <f>0.4+0.15</f>
        <v>0.55000000000000004</v>
      </c>
      <c r="H66" s="132">
        <f>D66*E66*G66</f>
        <v>5.0599999999999996</v>
      </c>
      <c r="I66" s="3"/>
      <c r="J66" s="3"/>
      <c r="K66" s="3"/>
    </row>
    <row r="67" spans="1:11" x14ac:dyDescent="0.25">
      <c r="A67" s="131"/>
      <c r="B67" s="131" t="s">
        <v>21</v>
      </c>
      <c r="C67" s="136" t="s">
        <v>112</v>
      </c>
      <c r="D67" s="135">
        <v>1</v>
      </c>
      <c r="E67" s="169">
        <f>E56*F56</f>
        <v>5.2899999999999991</v>
      </c>
      <c r="F67" s="170"/>
      <c r="G67" s="135" t="s">
        <v>104</v>
      </c>
      <c r="H67" s="132">
        <f>D67*E67</f>
        <v>5.2899999999999991</v>
      </c>
      <c r="I67" s="3"/>
      <c r="J67" s="3"/>
      <c r="K67" s="3"/>
    </row>
    <row r="68" spans="1:11" x14ac:dyDescent="0.25">
      <c r="A68" s="131"/>
      <c r="B68" s="131" t="s">
        <v>21</v>
      </c>
      <c r="C68" s="136" t="s">
        <v>66</v>
      </c>
      <c r="D68" s="135">
        <v>1</v>
      </c>
      <c r="E68" s="169">
        <f>8*0.331</f>
        <v>2.6480000000000001</v>
      </c>
      <c r="F68" s="170"/>
      <c r="G68" s="135">
        <f>1.45+0.3-0.025</f>
        <v>1.7250000000000001</v>
      </c>
      <c r="H68" s="132">
        <f>D68*E68*G68</f>
        <v>4.5678000000000001</v>
      </c>
      <c r="I68" s="3"/>
      <c r="J68" s="3"/>
      <c r="K68" s="3"/>
    </row>
    <row r="69" spans="1:11" x14ac:dyDescent="0.25">
      <c r="A69" s="131">
        <v>2</v>
      </c>
      <c r="B69" s="131" t="s">
        <v>21</v>
      </c>
      <c r="C69" s="136" t="s">
        <v>113</v>
      </c>
      <c r="D69" s="135">
        <v>3</v>
      </c>
      <c r="E69" s="169">
        <f>2*E57+2*F57</f>
        <v>12.8</v>
      </c>
      <c r="F69" s="170"/>
      <c r="G69" s="135">
        <f>0.15+1.7+0.1</f>
        <v>1.95</v>
      </c>
      <c r="H69" s="132">
        <f>D69*E69*G69</f>
        <v>74.88000000000001</v>
      </c>
      <c r="I69" s="3"/>
      <c r="J69" s="3"/>
      <c r="K69" s="3"/>
    </row>
    <row r="70" spans="1:11" x14ac:dyDescent="0.25">
      <c r="A70" s="131"/>
      <c r="B70" s="131" t="s">
        <v>21</v>
      </c>
      <c r="C70" s="136" t="s">
        <v>114</v>
      </c>
      <c r="D70" s="135">
        <v>3</v>
      </c>
      <c r="E70" s="169">
        <f>E57*F57</f>
        <v>9.6</v>
      </c>
      <c r="F70" s="170"/>
      <c r="G70" s="135" t="s">
        <v>104</v>
      </c>
      <c r="H70" s="132">
        <f>D70*E70</f>
        <v>28.799999999999997</v>
      </c>
      <c r="I70" s="3"/>
      <c r="J70" s="3"/>
      <c r="K70" s="3"/>
    </row>
    <row r="71" spans="1:11" x14ac:dyDescent="0.25">
      <c r="A71" s="33"/>
      <c r="B71" s="33"/>
      <c r="C71" s="44"/>
      <c r="D71" s="29"/>
      <c r="E71" s="50"/>
      <c r="F71" s="29"/>
      <c r="G71" s="29"/>
      <c r="H71" s="48"/>
      <c r="I71" s="3"/>
      <c r="J71" s="3"/>
      <c r="K71" s="3"/>
    </row>
    <row r="72" spans="1:11" x14ac:dyDescent="0.25">
      <c r="A72" s="1"/>
      <c r="B72" s="1"/>
      <c r="C72" s="5"/>
      <c r="D72" s="1"/>
      <c r="E72" s="14"/>
      <c r="F72" s="14"/>
      <c r="G72" s="1"/>
      <c r="H72" s="1"/>
      <c r="I72" s="141">
        <f>SUM(H66:H72)*1.1</f>
        <v>130.45758000000001</v>
      </c>
      <c r="J72" s="20" t="s">
        <v>23</v>
      </c>
      <c r="K72" s="3"/>
    </row>
    <row r="73" spans="1:11" x14ac:dyDescent="0.25">
      <c r="A73" s="21"/>
      <c r="B73" s="21"/>
      <c r="C73" s="22"/>
      <c r="D73" s="21"/>
      <c r="E73" s="23"/>
      <c r="F73" s="23"/>
      <c r="G73" s="21"/>
      <c r="H73" s="21"/>
      <c r="I73" s="101"/>
      <c r="J73" s="102"/>
      <c r="K73" s="3"/>
    </row>
    <row r="74" spans="1:11" x14ac:dyDescent="0.25">
      <c r="A74" s="21"/>
      <c r="B74" s="21"/>
      <c r="C74" s="22"/>
      <c r="D74" s="21"/>
      <c r="E74" s="23"/>
      <c r="F74" s="23"/>
      <c r="G74" s="21"/>
      <c r="H74" s="21"/>
      <c r="I74" s="3"/>
      <c r="J74" s="3"/>
      <c r="K74" s="3"/>
    </row>
    <row r="75" spans="1:11" ht="15.75" x14ac:dyDescent="0.25">
      <c r="A75" s="114" t="s">
        <v>12</v>
      </c>
      <c r="B75" s="115"/>
      <c r="C75" s="115"/>
      <c r="D75" s="115"/>
      <c r="E75" s="115"/>
      <c r="F75" s="115"/>
      <c r="G75" s="115"/>
      <c r="H75" s="116"/>
    </row>
    <row r="76" spans="1:11" x14ac:dyDescent="0.25">
      <c r="A76" s="1" t="s">
        <v>1</v>
      </c>
      <c r="B76" s="1"/>
      <c r="C76" s="1" t="s">
        <v>2</v>
      </c>
      <c r="D76" s="1" t="s">
        <v>3</v>
      </c>
      <c r="E76" s="1" t="s">
        <v>14</v>
      </c>
      <c r="F76" s="1" t="s">
        <v>9</v>
      </c>
      <c r="G76" s="1" t="s">
        <v>10</v>
      </c>
      <c r="H76" s="1" t="s">
        <v>10</v>
      </c>
    </row>
    <row r="77" spans="1:11" x14ac:dyDescent="0.25">
      <c r="A77" s="1"/>
      <c r="B77" s="1" t="s">
        <v>12</v>
      </c>
      <c r="C77" s="1"/>
      <c r="D77" s="1"/>
      <c r="E77" s="1" t="s">
        <v>15</v>
      </c>
      <c r="F77" s="1" t="s">
        <v>16</v>
      </c>
      <c r="G77" s="1" t="s">
        <v>11</v>
      </c>
      <c r="H77" s="12" t="s">
        <v>89</v>
      </c>
    </row>
    <row r="78" spans="1:11" x14ac:dyDescent="0.25">
      <c r="A78" s="1"/>
      <c r="B78" s="1"/>
      <c r="C78" s="5" t="s">
        <v>12</v>
      </c>
      <c r="D78" s="1"/>
      <c r="E78" s="1"/>
      <c r="F78" s="1"/>
      <c r="G78" s="1"/>
      <c r="H78" s="1"/>
    </row>
    <row r="79" spans="1:11" x14ac:dyDescent="0.25">
      <c r="A79" s="131">
        <v>1</v>
      </c>
      <c r="B79" s="131" t="s">
        <v>12</v>
      </c>
      <c r="C79" s="133" t="s">
        <v>115</v>
      </c>
      <c r="D79" s="131"/>
      <c r="E79" s="138">
        <f>I61</f>
        <v>66.708188800000002</v>
      </c>
      <c r="F79" s="131">
        <v>100</v>
      </c>
      <c r="G79" s="131">
        <f>E79*F79</f>
        <v>6670.8188799999998</v>
      </c>
      <c r="H79" s="131">
        <f>G79/1000</f>
        <v>6.6708188799999997</v>
      </c>
      <c r="I79" s="9"/>
      <c r="J79" s="9"/>
    </row>
    <row r="80" spans="1:11" x14ac:dyDescent="0.25">
      <c r="A80" s="33"/>
      <c r="B80" s="33"/>
      <c r="C80" s="46"/>
      <c r="D80" s="33"/>
      <c r="E80" s="38"/>
      <c r="F80" s="33"/>
      <c r="G80" s="33"/>
      <c r="H80" s="33"/>
      <c r="I80" s="9"/>
      <c r="J80" s="9"/>
    </row>
    <row r="81" spans="1:10" x14ac:dyDescent="0.25">
      <c r="A81" s="4"/>
      <c r="B81" s="4"/>
      <c r="C81" s="4"/>
      <c r="D81" s="99" t="s">
        <v>18</v>
      </c>
      <c r="E81" s="47">
        <f>SUM(E79:E80)</f>
        <v>66.708188800000002</v>
      </c>
      <c r="F81" s="1"/>
      <c r="G81" s="99">
        <f>SUM(G79:G80)</f>
        <v>6670.8188799999998</v>
      </c>
      <c r="H81" s="112">
        <f>SUM(H79:H80)</f>
        <v>6.6708188799999997</v>
      </c>
      <c r="I81" s="139">
        <f>H81*1.1</f>
        <v>7.3379007679999999</v>
      </c>
      <c r="J81" s="53" t="s">
        <v>24</v>
      </c>
    </row>
    <row r="82" spans="1:10" x14ac:dyDescent="0.25">
      <c r="A82" s="11"/>
      <c r="B82" s="11"/>
      <c r="C82" s="11"/>
      <c r="D82" s="11"/>
      <c r="E82" s="11"/>
      <c r="F82" s="41" t="s">
        <v>17</v>
      </c>
      <c r="G82" s="41">
        <f>H81*1000/E81</f>
        <v>100</v>
      </c>
      <c r="H82" s="11"/>
    </row>
    <row r="83" spans="1:10" x14ac:dyDescent="0.25">
      <c r="A83" s="7"/>
      <c r="B83" s="7"/>
      <c r="C83" s="7"/>
      <c r="D83" s="7"/>
      <c r="E83" s="7"/>
      <c r="F83" s="7"/>
      <c r="G83" s="7"/>
      <c r="H83" s="7"/>
      <c r="I83" s="7"/>
      <c r="J83" s="9"/>
    </row>
    <row r="84" spans="1:10" ht="15.75" x14ac:dyDescent="0.25">
      <c r="A84" s="114" t="s">
        <v>41</v>
      </c>
      <c r="B84" s="115"/>
      <c r="C84" s="115"/>
      <c r="D84" s="115"/>
      <c r="E84" s="115"/>
      <c r="F84" s="115"/>
      <c r="G84" s="115"/>
      <c r="H84" s="116"/>
      <c r="I84" s="9"/>
      <c r="J84" s="9"/>
    </row>
    <row r="85" spans="1:10" x14ac:dyDescent="0.25">
      <c r="A85" s="1" t="s">
        <v>1</v>
      </c>
      <c r="B85" s="1"/>
      <c r="C85" s="1" t="s">
        <v>2</v>
      </c>
      <c r="D85" s="1" t="s">
        <v>3</v>
      </c>
      <c r="E85" s="1" t="s">
        <v>4</v>
      </c>
      <c r="F85" s="1" t="s">
        <v>13</v>
      </c>
      <c r="G85" s="1" t="s">
        <v>5</v>
      </c>
      <c r="H85" s="1" t="s">
        <v>6</v>
      </c>
      <c r="I85" s="9"/>
      <c r="J85" s="9"/>
    </row>
    <row r="86" spans="1:10" x14ac:dyDescent="0.25">
      <c r="A86" s="1"/>
      <c r="B86" s="1" t="s">
        <v>41</v>
      </c>
      <c r="C86" s="1"/>
      <c r="D86" s="1"/>
      <c r="E86" s="1" t="s">
        <v>7</v>
      </c>
      <c r="F86" s="1" t="s">
        <v>7</v>
      </c>
      <c r="G86" s="1" t="s">
        <v>7</v>
      </c>
      <c r="H86" s="1" t="s">
        <v>8</v>
      </c>
      <c r="I86" s="9"/>
      <c r="J86" s="9"/>
    </row>
    <row r="87" spans="1:10" x14ac:dyDescent="0.25">
      <c r="A87" s="131">
        <v>1</v>
      </c>
      <c r="B87" s="131" t="s">
        <v>41</v>
      </c>
      <c r="C87" s="133" t="str">
        <f>C40</f>
        <v>F1</v>
      </c>
      <c r="D87" s="148">
        <f>D59</f>
        <v>1</v>
      </c>
      <c r="E87" s="171">
        <f>E59</f>
        <v>0.53017600000000009</v>
      </c>
      <c r="F87" s="172"/>
      <c r="G87" s="131">
        <v>2.5000000000000001E-2</v>
      </c>
      <c r="H87" s="143">
        <f>D87*E87*G87</f>
        <v>1.3254400000000003E-2</v>
      </c>
      <c r="I87" s="9"/>
      <c r="J87" s="9"/>
    </row>
    <row r="88" spans="1:10" x14ac:dyDescent="0.25">
      <c r="A88" s="131">
        <v>2</v>
      </c>
      <c r="B88" s="131" t="s">
        <v>41</v>
      </c>
      <c r="C88" s="133" t="str">
        <f>C41</f>
        <v>F2</v>
      </c>
      <c r="D88" s="148">
        <v>3</v>
      </c>
      <c r="E88" s="173">
        <f>0.54*0.28</f>
        <v>0.15120000000000003</v>
      </c>
      <c r="F88" s="174"/>
      <c r="G88" s="131">
        <v>2.5000000000000001E-2</v>
      </c>
      <c r="H88" s="143">
        <f>D88*E88*G88</f>
        <v>1.1340000000000003E-2</v>
      </c>
      <c r="I88" s="9"/>
      <c r="J88" s="9"/>
    </row>
    <row r="89" spans="1:10" x14ac:dyDescent="0.25">
      <c r="A89" s="69"/>
      <c r="B89" s="69"/>
      <c r="C89" s="70"/>
      <c r="D89" s="69"/>
      <c r="E89" s="69"/>
      <c r="F89" s="69"/>
      <c r="G89" s="69"/>
      <c r="H89" s="83"/>
      <c r="I89" s="139">
        <f>SUM(H87:H89)*1.1</f>
        <v>2.705384000000001E-2</v>
      </c>
      <c r="J89" s="53" t="s">
        <v>27</v>
      </c>
    </row>
    <row r="90" spans="1:10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</row>
    <row r="91" spans="1:10" ht="15.75" x14ac:dyDescent="0.25">
      <c r="A91" s="114" t="s">
        <v>35</v>
      </c>
      <c r="B91" s="115"/>
      <c r="C91" s="115"/>
      <c r="D91" s="115"/>
      <c r="E91" s="115"/>
      <c r="F91" s="115"/>
      <c r="G91" s="115"/>
      <c r="H91" s="116"/>
      <c r="I91" s="9"/>
      <c r="J91" s="9"/>
    </row>
    <row r="92" spans="1:10" x14ac:dyDescent="0.25">
      <c r="A92" s="1" t="s">
        <v>1</v>
      </c>
      <c r="B92" s="1"/>
      <c r="C92" s="1" t="s">
        <v>2</v>
      </c>
      <c r="D92" s="1" t="s">
        <v>3</v>
      </c>
      <c r="E92" s="1" t="s">
        <v>43</v>
      </c>
      <c r="F92" s="1" t="s">
        <v>46</v>
      </c>
      <c r="G92" s="1" t="s">
        <v>45</v>
      </c>
      <c r="H92" s="1" t="s">
        <v>6</v>
      </c>
      <c r="I92" s="9"/>
      <c r="J92" s="9"/>
    </row>
    <row r="93" spans="1:10" x14ac:dyDescent="0.25">
      <c r="A93" s="1"/>
      <c r="B93" s="1" t="s">
        <v>35</v>
      </c>
      <c r="C93" s="1"/>
      <c r="D93" s="1"/>
      <c r="E93" s="1" t="s">
        <v>44</v>
      </c>
      <c r="F93" s="1" t="s">
        <v>47</v>
      </c>
      <c r="G93" s="1" t="s">
        <v>48</v>
      </c>
      <c r="H93" s="1" t="s">
        <v>29</v>
      </c>
      <c r="I93" s="9"/>
      <c r="J93" s="9"/>
    </row>
    <row r="94" spans="1:10" x14ac:dyDescent="0.25">
      <c r="A94" s="131">
        <v>1</v>
      </c>
      <c r="B94" s="131" t="s">
        <v>35</v>
      </c>
      <c r="C94" s="133" t="str">
        <f>C40</f>
        <v>F1</v>
      </c>
      <c r="D94" s="135">
        <f>D40</f>
        <v>1</v>
      </c>
      <c r="E94" s="145" t="s">
        <v>49</v>
      </c>
      <c r="F94" s="131">
        <v>8</v>
      </c>
      <c r="G94" s="131">
        <v>3.6</v>
      </c>
      <c r="H94" s="132">
        <f>G94*F94*D94</f>
        <v>28.8</v>
      </c>
      <c r="I94" s="9"/>
      <c r="J94" s="9"/>
    </row>
    <row r="95" spans="1:10" x14ac:dyDescent="0.25">
      <c r="A95" s="131">
        <v>2</v>
      </c>
      <c r="B95" s="131" t="s">
        <v>35</v>
      </c>
      <c r="C95" s="133" t="str">
        <f>C41</f>
        <v>F2</v>
      </c>
      <c r="D95" s="135">
        <f>D41</f>
        <v>3</v>
      </c>
      <c r="E95" s="145" t="s">
        <v>49</v>
      </c>
      <c r="F95" s="131">
        <v>6</v>
      </c>
      <c r="G95" s="131">
        <v>3.6</v>
      </c>
      <c r="H95" s="132">
        <f>G95*F95*D95</f>
        <v>64.800000000000011</v>
      </c>
      <c r="I95" s="9"/>
      <c r="J95" s="9"/>
    </row>
    <row r="96" spans="1:10" x14ac:dyDescent="0.25">
      <c r="A96" s="1"/>
      <c r="B96" s="1"/>
      <c r="C96" s="4"/>
      <c r="D96" s="4"/>
      <c r="E96" s="1"/>
      <c r="F96" s="1"/>
      <c r="G96" s="1"/>
      <c r="H96" s="25"/>
      <c r="I96" s="142">
        <f>SUM(H94:H95)*1.1</f>
        <v>102.96000000000002</v>
      </c>
      <c r="J96" s="19" t="s">
        <v>30</v>
      </c>
    </row>
    <row r="97" spans="1:10" x14ac:dyDescent="0.25">
      <c r="A97" s="9"/>
      <c r="B97" s="9"/>
      <c r="C97" s="9"/>
      <c r="D97" s="9"/>
      <c r="E97" s="9"/>
      <c r="F97" s="9"/>
      <c r="G97" s="9"/>
      <c r="H97" s="9"/>
      <c r="I97" s="9" t="str">
        <f>H93</f>
        <v>(kg)</v>
      </c>
      <c r="J97" s="28" t="s">
        <v>31</v>
      </c>
    </row>
    <row r="98" spans="1:10" ht="15.75" x14ac:dyDescent="0.25">
      <c r="A98" s="114" t="s">
        <v>97</v>
      </c>
      <c r="B98" s="115"/>
      <c r="C98" s="115"/>
      <c r="D98" s="115"/>
      <c r="E98" s="115"/>
      <c r="F98" s="115"/>
      <c r="G98" s="115"/>
      <c r="H98" s="116"/>
      <c r="I98" s="9"/>
      <c r="J98" s="9"/>
    </row>
    <row r="99" spans="1:10" x14ac:dyDescent="0.25">
      <c r="A99" s="1" t="s">
        <v>1</v>
      </c>
      <c r="B99" s="1"/>
      <c r="C99" s="1" t="s">
        <v>2</v>
      </c>
      <c r="D99" s="1" t="s">
        <v>3</v>
      </c>
      <c r="E99" s="1" t="s">
        <v>4</v>
      </c>
      <c r="F99" s="1" t="s">
        <v>13</v>
      </c>
      <c r="G99" s="1" t="s">
        <v>70</v>
      </c>
      <c r="H99" s="1" t="s">
        <v>6</v>
      </c>
      <c r="I99" s="9"/>
      <c r="J99" s="9"/>
    </row>
    <row r="100" spans="1:10" x14ac:dyDescent="0.25">
      <c r="A100" s="1"/>
      <c r="B100" s="1" t="s">
        <v>97</v>
      </c>
      <c r="C100" s="1"/>
      <c r="D100" s="1"/>
      <c r="E100" s="1" t="s">
        <v>7</v>
      </c>
      <c r="F100" s="1" t="s">
        <v>7</v>
      </c>
      <c r="G100" s="1" t="s">
        <v>7</v>
      </c>
      <c r="H100" s="1" t="s">
        <v>54</v>
      </c>
      <c r="I100" s="9"/>
      <c r="J100" s="9"/>
    </row>
    <row r="101" spans="1:10" x14ac:dyDescent="0.25">
      <c r="A101" s="131">
        <v>1</v>
      </c>
      <c r="B101" s="131" t="s">
        <v>97</v>
      </c>
      <c r="C101" s="136" t="s">
        <v>110</v>
      </c>
      <c r="D101" s="135">
        <v>3</v>
      </c>
      <c r="E101" s="131">
        <v>0.54</v>
      </c>
      <c r="F101" s="131">
        <v>0.28000000000000003</v>
      </c>
      <c r="G101" s="131">
        <v>2.4E-2</v>
      </c>
      <c r="H101" s="132">
        <f>G101*F101*E101*D101*7850</f>
        <v>85.458240000000018</v>
      </c>
      <c r="I101" s="9"/>
      <c r="J101" s="9"/>
    </row>
    <row r="102" spans="1:10" x14ac:dyDescent="0.25">
      <c r="A102" s="69"/>
      <c r="B102" s="69"/>
      <c r="C102" s="109"/>
      <c r="D102" s="71"/>
      <c r="E102" s="69"/>
      <c r="F102" s="69"/>
      <c r="G102" s="69"/>
      <c r="H102" s="72"/>
      <c r="I102" s="9"/>
      <c r="J102" s="9"/>
    </row>
    <row r="103" spans="1:10" x14ac:dyDescent="0.25">
      <c r="A103" s="69"/>
      <c r="B103" s="69"/>
      <c r="C103" s="109"/>
      <c r="D103" s="71"/>
      <c r="E103" s="69"/>
      <c r="F103" s="69"/>
      <c r="G103" s="69"/>
      <c r="H103" s="72"/>
      <c r="I103" s="9"/>
      <c r="J103" s="9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49">
        <f>SUM(H101:H103)*1.1</f>
        <v>94.004064000000028</v>
      </c>
      <c r="J104" s="19" t="str">
        <f>A98</f>
        <v>BASE PLATE DEADMAN</v>
      </c>
    </row>
    <row r="105" spans="1:10" x14ac:dyDescent="0.25">
      <c r="I105" s="31" t="str">
        <f>H100</f>
        <v>(KG)</v>
      </c>
    </row>
    <row r="106" spans="1:10" x14ac:dyDescent="0.25">
      <c r="C106" s="81"/>
      <c r="D106" s="81"/>
      <c r="E106" s="108"/>
      <c r="F106" s="108"/>
    </row>
    <row r="107" spans="1:10" x14ac:dyDescent="0.25">
      <c r="C107" s="81"/>
      <c r="D107" s="81"/>
      <c r="E107" s="108"/>
      <c r="F107" s="108"/>
    </row>
    <row r="108" spans="1:10" x14ac:dyDescent="0.25">
      <c r="C108" s="81"/>
      <c r="D108" s="81"/>
      <c r="E108" s="108"/>
      <c r="F108" s="108"/>
    </row>
    <row r="109" spans="1:10" x14ac:dyDescent="0.25">
      <c r="C109" s="81"/>
      <c r="D109" s="81"/>
      <c r="E109" s="108"/>
      <c r="F109" s="108"/>
    </row>
  </sheetData>
  <mergeCells count="13">
    <mergeCell ref="A1:H1"/>
    <mergeCell ref="A2:H2"/>
    <mergeCell ref="A3:H3"/>
    <mergeCell ref="L38:N38"/>
    <mergeCell ref="C6:E6"/>
    <mergeCell ref="E70:F70"/>
    <mergeCell ref="E87:F87"/>
    <mergeCell ref="E88:F88"/>
    <mergeCell ref="E59:F59"/>
    <mergeCell ref="E66:F66"/>
    <mergeCell ref="E67:F67"/>
    <mergeCell ref="E68:F68"/>
    <mergeCell ref="E69:F6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3"/>
  <sheetViews>
    <sheetView zoomScale="70" zoomScaleNormal="70" workbookViewId="0">
      <selection activeCell="C28" sqref="C28"/>
    </sheetView>
  </sheetViews>
  <sheetFormatPr defaultRowHeight="15" x14ac:dyDescent="0.25"/>
  <cols>
    <col min="1" max="1" width="6" style="2" bestFit="1" customWidth="1"/>
    <col min="2" max="2" width="23.42578125" style="2" customWidth="1"/>
    <col min="3" max="3" width="42.85546875" style="2" customWidth="1"/>
    <col min="4" max="4" width="13.140625" style="2" customWidth="1"/>
    <col min="5" max="5" width="9.28515625" style="2" bestFit="1" customWidth="1"/>
    <col min="6" max="6" width="12" style="2" bestFit="1" customWidth="1"/>
    <col min="7" max="7" width="9.28515625" style="2" bestFit="1" customWidth="1"/>
    <col min="8" max="8" width="10" style="2" customWidth="1"/>
    <col min="9" max="9" width="12.42578125" style="2" customWidth="1"/>
    <col min="10" max="10" width="23.42578125" style="2" bestFit="1" customWidth="1"/>
    <col min="11" max="11" width="3" style="2" customWidth="1"/>
    <col min="12" max="12" width="29.7109375" style="2" bestFit="1" customWidth="1"/>
    <col min="13" max="13" width="9.42578125" style="2" bestFit="1" customWidth="1"/>
    <col min="14" max="16384" width="9.140625" style="2"/>
  </cols>
  <sheetData>
    <row r="1" spans="1:11" ht="21" x14ac:dyDescent="0.35">
      <c r="A1" s="156" t="s">
        <v>39</v>
      </c>
      <c r="B1" s="156"/>
      <c r="C1" s="156"/>
      <c r="D1" s="156"/>
      <c r="E1" s="156"/>
      <c r="F1" s="156"/>
      <c r="G1" s="156"/>
      <c r="H1" s="156"/>
      <c r="I1" s="42"/>
      <c r="J1" s="42"/>
      <c r="K1" s="96"/>
    </row>
    <row r="2" spans="1:11" ht="21" x14ac:dyDescent="0.35">
      <c r="A2" s="157" t="s">
        <v>63</v>
      </c>
      <c r="B2" s="157"/>
      <c r="C2" s="157"/>
      <c r="D2" s="157"/>
      <c r="E2" s="157"/>
      <c r="F2" s="157"/>
      <c r="G2" s="157"/>
      <c r="H2" s="157"/>
      <c r="I2" s="43"/>
      <c r="J2" s="43"/>
      <c r="K2" s="30"/>
    </row>
    <row r="3" spans="1:11" x14ac:dyDescent="0.25">
      <c r="A3" s="158" t="s">
        <v>67</v>
      </c>
      <c r="B3" s="158"/>
      <c r="C3" s="158"/>
      <c r="D3" s="158"/>
      <c r="E3" s="158"/>
      <c r="F3" s="158"/>
      <c r="G3" s="158"/>
      <c r="H3" s="158"/>
    </row>
    <row r="4" spans="1:11" x14ac:dyDescent="0.25">
      <c r="A4" s="7"/>
      <c r="B4" s="7"/>
      <c r="C4" s="7"/>
      <c r="D4" s="7"/>
      <c r="E4" s="7"/>
      <c r="F4" s="7"/>
      <c r="G4" s="7"/>
      <c r="H4" s="7"/>
    </row>
    <row r="5" spans="1:11" x14ac:dyDescent="0.25">
      <c r="A5" s="7"/>
      <c r="B5" s="7"/>
      <c r="F5" s="7"/>
      <c r="G5" s="7"/>
      <c r="H5" s="7"/>
    </row>
    <row r="6" spans="1:11" x14ac:dyDescent="0.25">
      <c r="A6" s="7"/>
      <c r="B6" s="7"/>
      <c r="C6" s="168" t="s">
        <v>74</v>
      </c>
      <c r="D6" s="168"/>
      <c r="E6" s="168"/>
      <c r="F6" s="7"/>
      <c r="G6" s="7"/>
      <c r="H6" s="7"/>
    </row>
    <row r="7" spans="1:11" x14ac:dyDescent="0.25">
      <c r="A7" s="7"/>
      <c r="B7" s="7"/>
      <c r="C7" s="49" t="s">
        <v>0</v>
      </c>
      <c r="D7" s="95">
        <f>SUMIF($B$39:$B$165,C7,$H$39:$H$165)*1.1</f>
        <v>120.42559099999998</v>
      </c>
      <c r="E7" s="36" t="str">
        <f>INDEX($H$39:$H$165,MATCH(C7,$B$39:$B$165,0))</f>
        <v>(cu-m)</v>
      </c>
      <c r="F7" s="7"/>
      <c r="G7" s="7"/>
      <c r="H7" s="7"/>
    </row>
    <row r="8" spans="1:11" x14ac:dyDescent="0.25">
      <c r="A8" s="7"/>
      <c r="B8" s="7"/>
      <c r="C8" s="49" t="s">
        <v>37</v>
      </c>
      <c r="D8" s="95">
        <f>SUMIF($B$39:$B$165,C8,$H$39:$H$165)*1.1</f>
        <v>6.3381890000000007</v>
      </c>
      <c r="E8" s="36" t="str">
        <f>INDEX($H$39:$H$165,MATCH(C8,$B$39:$B$165,0))</f>
        <v>(cu-m)</v>
      </c>
      <c r="F8" s="7"/>
      <c r="G8" s="7"/>
      <c r="H8" s="7"/>
    </row>
    <row r="9" spans="1:11" x14ac:dyDescent="0.25">
      <c r="A9" s="7"/>
      <c r="B9" s="7"/>
      <c r="C9" s="33" t="s">
        <v>131</v>
      </c>
      <c r="D9" s="95">
        <f>SUMIF($B$39:$B$165,C9,$H$39:$H$165)*1.1</f>
        <v>57.043700999999999</v>
      </c>
      <c r="E9" s="36" t="str">
        <f>INDEX($H$39:$H$165,MATCH(C9,$B$39:$B$165,0))</f>
        <v>(cu-m)</v>
      </c>
      <c r="F9" s="7"/>
      <c r="G9" s="7"/>
      <c r="H9" s="7"/>
    </row>
    <row r="10" spans="1:11" x14ac:dyDescent="0.25">
      <c r="A10" s="7"/>
      <c r="B10" s="7"/>
      <c r="C10" s="112" t="s">
        <v>32</v>
      </c>
      <c r="D10" s="51"/>
      <c r="E10" s="1"/>
      <c r="F10" s="7"/>
      <c r="G10" s="7"/>
      <c r="H10" s="7"/>
    </row>
    <row r="11" spans="1:11" x14ac:dyDescent="0.25">
      <c r="A11" s="7"/>
      <c r="B11" s="7"/>
      <c r="C11" s="33" t="s">
        <v>38</v>
      </c>
      <c r="D11" s="95">
        <f t="shared" ref="D11:D23" si="0">SUMIF($B$39:$B$165,C11,$H$39:$H$165)*1.1</f>
        <v>68.82647200000001</v>
      </c>
      <c r="E11" s="36" t="str">
        <f>INDEX($H$39:$H$165,MATCH(C11,$B$39:$B$165,0))</f>
        <v>(cu-m)</v>
      </c>
      <c r="F11" s="7"/>
      <c r="G11" s="7"/>
      <c r="H11" s="7"/>
    </row>
    <row r="12" spans="1:11" x14ac:dyDescent="0.25">
      <c r="A12" s="7"/>
      <c r="B12" s="7"/>
      <c r="C12" s="33" t="s">
        <v>21</v>
      </c>
      <c r="D12" s="95">
        <f t="shared" si="0"/>
        <v>150.97257999999999</v>
      </c>
      <c r="E12" s="36" t="str">
        <f>INDEX($H$39:$H$165,MATCH(C12,$B$39:$B$165,0))</f>
        <v>(Sq-m)</v>
      </c>
      <c r="F12" s="7"/>
      <c r="G12" s="7"/>
      <c r="H12" s="7"/>
    </row>
    <row r="13" spans="1:11" x14ac:dyDescent="0.25">
      <c r="A13" s="7"/>
      <c r="B13" s="7"/>
      <c r="C13" s="29" t="s">
        <v>12</v>
      </c>
      <c r="D13" s="95">
        <f t="shared" si="0"/>
        <v>7.5709119200000012</v>
      </c>
      <c r="E13" s="36" t="str">
        <f>INDEX($H$39:$H$165,MATCH(C13,$B$39:$B$165,0))</f>
        <v>Ton</v>
      </c>
      <c r="F13" s="7"/>
      <c r="G13" s="7"/>
      <c r="H13" s="7"/>
    </row>
    <row r="14" spans="1:11" x14ac:dyDescent="0.25">
      <c r="A14" s="7"/>
      <c r="B14" s="7"/>
      <c r="C14" s="29" t="s">
        <v>41</v>
      </c>
      <c r="D14" s="95">
        <f t="shared" si="0"/>
        <v>1.1638000000000002</v>
      </c>
      <c r="E14" s="36" t="str">
        <f>INDEX($H$39:$H$165,MATCH(C14,$B$39:$B$165,0))</f>
        <v>(cu-m)</v>
      </c>
      <c r="F14" s="7"/>
      <c r="G14" s="7"/>
      <c r="H14" s="7"/>
    </row>
    <row r="15" spans="1:11" x14ac:dyDescent="0.25">
      <c r="A15" s="7"/>
      <c r="B15" s="7"/>
      <c r="C15" s="29" t="s">
        <v>99</v>
      </c>
      <c r="D15" s="95">
        <f t="shared" si="0"/>
        <v>48.378000000000007</v>
      </c>
      <c r="E15" s="36" t="str">
        <f>INDEX($H$39:$H$165,MATCH(C15,$B$39:$B$165,0))</f>
        <v>(m)</v>
      </c>
      <c r="F15" s="7"/>
      <c r="G15" s="7"/>
      <c r="H15" s="7"/>
    </row>
    <row r="16" spans="1:11" x14ac:dyDescent="0.25">
      <c r="A16" s="7"/>
      <c r="B16" s="7"/>
      <c r="C16" s="29" t="s">
        <v>132</v>
      </c>
      <c r="D16" s="95">
        <f t="shared" si="0"/>
        <v>0.88000000000000012</v>
      </c>
      <c r="E16" s="36" t="s">
        <v>7</v>
      </c>
      <c r="F16" s="7"/>
      <c r="G16" s="7"/>
      <c r="H16" s="7"/>
    </row>
    <row r="17" spans="1:8" x14ac:dyDescent="0.25">
      <c r="A17" s="7"/>
      <c r="B17" s="7"/>
      <c r="C17" s="29" t="s">
        <v>133</v>
      </c>
      <c r="D17" s="95">
        <f t="shared" si="0"/>
        <v>0.88000000000000012</v>
      </c>
      <c r="E17" s="36" t="s">
        <v>7</v>
      </c>
      <c r="F17" s="7"/>
      <c r="G17" s="7"/>
      <c r="H17" s="7"/>
    </row>
    <row r="18" spans="1:8" x14ac:dyDescent="0.25">
      <c r="A18" s="7"/>
      <c r="B18" s="7"/>
      <c r="C18" s="29" t="s">
        <v>134</v>
      </c>
      <c r="D18" s="95">
        <f t="shared" si="0"/>
        <v>2.6400000000000006</v>
      </c>
      <c r="E18" s="36" t="s">
        <v>7</v>
      </c>
      <c r="F18" s="7"/>
      <c r="G18" s="7"/>
      <c r="H18" s="7"/>
    </row>
    <row r="19" spans="1:8" x14ac:dyDescent="0.25">
      <c r="A19" s="7"/>
      <c r="B19" s="7"/>
      <c r="C19" s="29" t="s">
        <v>135</v>
      </c>
      <c r="D19" s="95">
        <f t="shared" si="0"/>
        <v>0.88000000000000012</v>
      </c>
      <c r="E19" s="36" t="s">
        <v>7</v>
      </c>
      <c r="F19" s="7"/>
      <c r="G19" s="7"/>
      <c r="H19" s="7"/>
    </row>
    <row r="20" spans="1:8" x14ac:dyDescent="0.25">
      <c r="A20" s="7"/>
      <c r="B20" s="7"/>
      <c r="C20" s="29" t="s">
        <v>136</v>
      </c>
      <c r="D20" s="95">
        <f t="shared" si="0"/>
        <v>1.7600000000000002</v>
      </c>
      <c r="E20" s="36" t="s">
        <v>7</v>
      </c>
      <c r="F20" s="7"/>
      <c r="G20" s="7"/>
      <c r="H20" s="7"/>
    </row>
    <row r="21" spans="1:8" x14ac:dyDescent="0.25">
      <c r="A21" s="7"/>
      <c r="B21" s="7"/>
      <c r="C21" s="29" t="s">
        <v>137</v>
      </c>
      <c r="D21" s="95">
        <f t="shared" si="0"/>
        <v>0.88000000000000012</v>
      </c>
      <c r="E21" s="36" t="s">
        <v>7</v>
      </c>
      <c r="F21" s="7"/>
      <c r="G21" s="7"/>
      <c r="H21" s="7"/>
    </row>
    <row r="22" spans="1:8" x14ac:dyDescent="0.25">
      <c r="A22" s="7"/>
      <c r="B22" s="7"/>
      <c r="C22" s="33" t="s">
        <v>125</v>
      </c>
      <c r="D22" s="95">
        <f t="shared" si="0"/>
        <v>116.57250000000002</v>
      </c>
      <c r="E22" s="36" t="str">
        <f>INDEX($H$39:$H$165,MATCH(C22,$B$39:$B$165,0))</f>
        <v>(kg)</v>
      </c>
      <c r="F22" s="7"/>
      <c r="G22" s="7"/>
      <c r="H22" s="7"/>
    </row>
    <row r="23" spans="1:8" x14ac:dyDescent="0.25">
      <c r="A23" s="7"/>
      <c r="B23" s="7"/>
      <c r="C23" s="33" t="s">
        <v>126</v>
      </c>
      <c r="D23" s="95">
        <f t="shared" si="0"/>
        <v>2.8568980000000002</v>
      </c>
      <c r="E23" s="36" t="str">
        <f>INDEX($H$39:$H$165,MATCH(C23,$B$39:$B$165,0))</f>
        <v>(cu-m)</v>
      </c>
      <c r="F23" s="7"/>
      <c r="G23" s="7"/>
      <c r="H23" s="7"/>
    </row>
    <row r="24" spans="1:8" x14ac:dyDescent="0.25">
      <c r="A24" s="7"/>
      <c r="B24" s="7"/>
      <c r="F24" s="7"/>
      <c r="G24" s="7"/>
      <c r="H24" s="7"/>
    </row>
    <row r="25" spans="1:8" x14ac:dyDescent="0.25">
      <c r="A25" s="7"/>
      <c r="B25" s="7"/>
      <c r="F25" s="7"/>
      <c r="G25" s="7"/>
      <c r="H25" s="7"/>
    </row>
    <row r="26" spans="1:8" x14ac:dyDescent="0.25">
      <c r="A26" s="7"/>
      <c r="B26" s="7"/>
      <c r="F26" s="7"/>
      <c r="G26" s="7"/>
      <c r="H26" s="7"/>
    </row>
    <row r="27" spans="1:8" x14ac:dyDescent="0.25">
      <c r="A27" s="7"/>
      <c r="B27" s="7"/>
      <c r="F27" s="7"/>
      <c r="G27" s="7"/>
      <c r="H27" s="7"/>
    </row>
    <row r="28" spans="1:8" x14ac:dyDescent="0.25">
      <c r="A28" s="7"/>
      <c r="B28" s="7"/>
      <c r="F28" s="7"/>
      <c r="G28" s="7"/>
      <c r="H28" s="7"/>
    </row>
    <row r="29" spans="1:8" x14ac:dyDescent="0.25">
      <c r="A29" s="7"/>
      <c r="B29" s="7"/>
      <c r="F29" s="7"/>
      <c r="G29" s="7"/>
      <c r="H29" s="7"/>
    </row>
    <row r="30" spans="1:8" x14ac:dyDescent="0.25">
      <c r="A30" s="7"/>
      <c r="B30" s="7"/>
      <c r="F30" s="7"/>
      <c r="G30" s="7"/>
      <c r="H30" s="7"/>
    </row>
    <row r="31" spans="1:8" x14ac:dyDescent="0.25">
      <c r="A31" s="7"/>
      <c r="B31" s="7"/>
      <c r="F31" s="7"/>
      <c r="G31" s="7"/>
      <c r="H31" s="7"/>
    </row>
    <row r="32" spans="1:8" x14ac:dyDescent="0.25">
      <c r="A32" s="7"/>
      <c r="B32" s="7"/>
      <c r="F32" s="7"/>
      <c r="G32" s="7"/>
      <c r="H32" s="7"/>
    </row>
    <row r="33" spans="1:14" x14ac:dyDescent="0.25">
      <c r="A33" s="7"/>
      <c r="B33" s="7"/>
      <c r="F33" s="7"/>
      <c r="G33" s="7"/>
      <c r="H33" s="7"/>
    </row>
    <row r="34" spans="1:14" x14ac:dyDescent="0.25">
      <c r="A34" s="7"/>
      <c r="B34" s="7"/>
      <c r="F34" s="7"/>
      <c r="G34" s="7"/>
      <c r="H34" s="7"/>
    </row>
    <row r="35" spans="1:14" x14ac:dyDescent="0.25">
      <c r="A35" s="7"/>
      <c r="B35" s="7"/>
      <c r="F35" s="7"/>
      <c r="G35" s="7"/>
      <c r="H35" s="7"/>
    </row>
    <row r="36" spans="1:14" x14ac:dyDescent="0.25">
      <c r="A36" s="7"/>
      <c r="B36" s="7"/>
      <c r="F36" s="7"/>
      <c r="G36" s="7"/>
      <c r="H36" s="7"/>
    </row>
    <row r="37" spans="1:14" x14ac:dyDescent="0.25">
      <c r="A37" s="7"/>
      <c r="B37" s="7"/>
      <c r="F37" s="7"/>
      <c r="G37" s="7"/>
      <c r="H37" s="7"/>
    </row>
    <row r="38" spans="1:14" x14ac:dyDescent="0.25">
      <c r="A38" s="7"/>
      <c r="B38" s="7"/>
      <c r="F38" s="7"/>
      <c r="G38" s="7"/>
      <c r="H38" s="7"/>
    </row>
    <row r="39" spans="1:14" x14ac:dyDescent="0.25">
      <c r="A39" s="7"/>
      <c r="B39" s="7"/>
      <c r="F39" s="7"/>
      <c r="G39" s="7"/>
      <c r="H39" s="7"/>
    </row>
    <row r="40" spans="1:14" x14ac:dyDescent="0.25">
      <c r="A40" s="7"/>
      <c r="B40" s="7"/>
      <c r="F40" s="7"/>
      <c r="G40" s="7"/>
      <c r="H40" s="7"/>
    </row>
    <row r="41" spans="1:14" x14ac:dyDescent="0.25">
      <c r="A41" s="7"/>
      <c r="B41" s="7"/>
      <c r="C41" s="7"/>
      <c r="D41" s="7"/>
      <c r="E41" s="7"/>
      <c r="F41" s="7"/>
      <c r="G41" s="7"/>
      <c r="H41" s="7"/>
    </row>
    <row r="42" spans="1:14" ht="16.5" thickBot="1" x14ac:dyDescent="0.3">
      <c r="A42" s="118" t="s">
        <v>0</v>
      </c>
      <c r="B42" s="119"/>
      <c r="C42" s="119"/>
      <c r="D42" s="119"/>
      <c r="E42" s="119"/>
      <c r="F42" s="119"/>
      <c r="G42" s="119"/>
      <c r="H42" s="120"/>
    </row>
    <row r="43" spans="1:14" ht="15.75" thickBot="1" x14ac:dyDescent="0.3">
      <c r="A43" s="64" t="s">
        <v>1</v>
      </c>
      <c r="B43" s="122"/>
      <c r="C43" s="65" t="s">
        <v>2</v>
      </c>
      <c r="D43" s="65" t="s">
        <v>3</v>
      </c>
      <c r="E43" s="65" t="s">
        <v>33</v>
      </c>
      <c r="F43" s="65" t="s">
        <v>34</v>
      </c>
      <c r="G43" s="65" t="s">
        <v>5</v>
      </c>
      <c r="H43" s="66" t="s">
        <v>6</v>
      </c>
      <c r="L43" s="168" t="s">
        <v>74</v>
      </c>
      <c r="M43" s="168"/>
      <c r="N43" s="168"/>
    </row>
    <row r="44" spans="1:14" x14ac:dyDescent="0.25">
      <c r="A44" s="67"/>
      <c r="B44" s="131" t="str">
        <f>$A$42</f>
        <v>EXCAVATION</v>
      </c>
      <c r="C44" s="68"/>
      <c r="D44" s="67"/>
      <c r="E44" s="67" t="s">
        <v>7</v>
      </c>
      <c r="F44" s="67" t="s">
        <v>7</v>
      </c>
      <c r="G44" s="67" t="s">
        <v>7</v>
      </c>
      <c r="H44" s="67" t="s">
        <v>8</v>
      </c>
      <c r="L44" s="33" t="str">
        <f>A42</f>
        <v>EXCAVATION</v>
      </c>
      <c r="M44" s="24">
        <f>I53</f>
        <v>120.42559099999998</v>
      </c>
      <c r="N44" s="1" t="s">
        <v>20</v>
      </c>
    </row>
    <row r="45" spans="1:14" x14ac:dyDescent="0.25">
      <c r="A45" s="131">
        <v>1</v>
      </c>
      <c r="B45" s="131" t="str">
        <f>$A$42</f>
        <v>EXCAVATION</v>
      </c>
      <c r="C45" s="133" t="s">
        <v>116</v>
      </c>
      <c r="D45" s="131">
        <f>1</f>
        <v>1</v>
      </c>
      <c r="E45" s="131">
        <f>16.36+0.15</f>
        <v>16.509999999999998</v>
      </c>
      <c r="F45" s="131">
        <f>6.83+0.15</f>
        <v>6.98</v>
      </c>
      <c r="G45" s="131">
        <f>0.5+0.45</f>
        <v>0.95</v>
      </c>
      <c r="H45" s="132">
        <f>D45*E45*F45*G45</f>
        <v>109.47780999999998</v>
      </c>
      <c r="I45" s="34"/>
      <c r="J45" s="35"/>
      <c r="L45" s="33" t="str">
        <f>A68</f>
        <v>CC 1 : 4 : 8</v>
      </c>
      <c r="M45" s="24">
        <f>I76</f>
        <v>6.3381890000000007</v>
      </c>
      <c r="N45" s="1" t="s">
        <v>20</v>
      </c>
    </row>
    <row r="46" spans="1:14" x14ac:dyDescent="0.25">
      <c r="A46" s="33"/>
      <c r="B46" s="33"/>
      <c r="C46" s="46"/>
      <c r="D46" s="33"/>
      <c r="E46" s="29"/>
      <c r="F46" s="29"/>
      <c r="G46" s="33"/>
      <c r="H46" s="48"/>
      <c r="I46" s="34"/>
      <c r="J46" s="35"/>
      <c r="L46" s="97" t="s">
        <v>32</v>
      </c>
      <c r="M46" s="51"/>
      <c r="N46" s="1"/>
    </row>
    <row r="47" spans="1:14" x14ac:dyDescent="0.25">
      <c r="A47" s="33"/>
      <c r="B47" s="33"/>
      <c r="C47" s="46"/>
      <c r="D47" s="33"/>
      <c r="E47" s="33"/>
      <c r="F47" s="33"/>
      <c r="G47" s="33"/>
      <c r="H47" s="48"/>
      <c r="I47" s="34"/>
      <c r="J47" s="35"/>
      <c r="L47" s="33" t="str">
        <f>A78</f>
        <v>RCC 3750 PSI</v>
      </c>
      <c r="M47" s="55">
        <f>I86</f>
        <v>68.82647200000001</v>
      </c>
      <c r="N47" s="1" t="s">
        <v>20</v>
      </c>
    </row>
    <row r="48" spans="1:14" x14ac:dyDescent="0.25">
      <c r="A48" s="33"/>
      <c r="B48" s="33"/>
      <c r="C48" s="46"/>
      <c r="D48" s="33"/>
      <c r="E48" s="49"/>
      <c r="F48" s="49"/>
      <c r="G48" s="33"/>
      <c r="H48" s="48"/>
      <c r="L48" s="33" t="str">
        <f>A88</f>
        <v>BITUMEN COATING</v>
      </c>
      <c r="M48" s="55">
        <f>I94</f>
        <v>150.97257999999999</v>
      </c>
      <c r="N48" s="1" t="s">
        <v>26</v>
      </c>
    </row>
    <row r="49" spans="1:14" x14ac:dyDescent="0.25">
      <c r="A49" s="33"/>
      <c r="B49" s="33"/>
      <c r="C49" s="46"/>
      <c r="D49" s="33"/>
      <c r="E49" s="56"/>
      <c r="F49" s="56"/>
      <c r="G49" s="29"/>
      <c r="H49" s="48"/>
      <c r="L49" s="33" t="e">
        <f>#REF!</f>
        <v>#REF!</v>
      </c>
      <c r="M49" s="55" t="e">
        <f>#REF!</f>
        <v>#REF!</v>
      </c>
      <c r="N49" s="1" t="s">
        <v>26</v>
      </c>
    </row>
    <row r="50" spans="1:14" s="10" customFormat="1" x14ac:dyDescent="0.25">
      <c r="A50" s="69"/>
      <c r="B50" s="69"/>
      <c r="C50" s="70"/>
      <c r="D50" s="69"/>
      <c r="E50" s="71"/>
      <c r="F50" s="71"/>
      <c r="G50" s="71"/>
      <c r="H50" s="72"/>
      <c r="J50" s="31"/>
      <c r="K50" s="31"/>
      <c r="L50" s="29" t="str">
        <f>A97</f>
        <v>REINFORCEMENT</v>
      </c>
      <c r="M50" s="52">
        <f>I103</f>
        <v>7.5709119200000012</v>
      </c>
      <c r="N50" s="12" t="s">
        <v>25</v>
      </c>
    </row>
    <row r="51" spans="1:14" x14ac:dyDescent="0.25">
      <c r="A51" s="69"/>
      <c r="B51" s="79"/>
      <c r="C51" s="75"/>
      <c r="D51" s="69"/>
      <c r="E51" s="69"/>
      <c r="F51" s="69"/>
      <c r="G51" s="72"/>
      <c r="H51" s="72"/>
      <c r="L51" s="33" t="str">
        <f>A106</f>
        <v>CEMENTITIOUS GROUT G1</v>
      </c>
      <c r="M51" s="54">
        <f>I112</f>
        <v>1.1638000000000002</v>
      </c>
      <c r="N51" s="1" t="s">
        <v>20</v>
      </c>
    </row>
    <row r="52" spans="1:14" x14ac:dyDescent="0.25">
      <c r="A52" s="69"/>
      <c r="B52" s="69"/>
      <c r="C52" s="78"/>
      <c r="D52" s="69"/>
      <c r="E52" s="76"/>
      <c r="F52" s="76"/>
      <c r="G52" s="76"/>
      <c r="H52" s="77"/>
      <c r="L52" s="33" t="str">
        <f>A130</f>
        <v>PUDDLE FLANGE MS PIPE</v>
      </c>
      <c r="M52" s="24">
        <f>I140</f>
        <v>7.9200000000000008</v>
      </c>
      <c r="N52" s="1" t="s">
        <v>36</v>
      </c>
    </row>
    <row r="53" spans="1:14" x14ac:dyDescent="0.25">
      <c r="A53" s="79"/>
      <c r="B53" s="79"/>
      <c r="C53" s="80"/>
      <c r="D53" s="79"/>
      <c r="E53" s="81"/>
      <c r="F53" s="81"/>
      <c r="G53" s="81"/>
      <c r="H53" s="82"/>
      <c r="I53" s="142">
        <f>SUM(H45:H52)*1.1</f>
        <v>120.42559099999998</v>
      </c>
      <c r="J53" s="19" t="s">
        <v>19</v>
      </c>
      <c r="K53" s="3"/>
      <c r="L53" s="69" t="e">
        <f>#REF!</f>
        <v>#REF!</v>
      </c>
      <c r="M53" s="104" t="e">
        <f>#REF!</f>
        <v>#REF!</v>
      </c>
      <c r="N53" s="69" t="e">
        <f>#REF!</f>
        <v>#REF!</v>
      </c>
    </row>
    <row r="54" spans="1:14" x14ac:dyDescent="0.25">
      <c r="A54" s="79"/>
      <c r="B54" s="79"/>
      <c r="C54" s="80"/>
      <c r="D54" s="79"/>
      <c r="E54" s="81"/>
      <c r="F54" s="81"/>
      <c r="G54" s="81"/>
      <c r="H54" s="82"/>
      <c r="I54" s="13"/>
      <c r="J54" s="13"/>
      <c r="K54" s="3"/>
      <c r="L54" s="33" t="e">
        <f>#REF!</f>
        <v>#REF!</v>
      </c>
      <c r="M54" s="54" t="e">
        <f>(#REF!+#REF!)/1000</f>
        <v>#REF!</v>
      </c>
      <c r="N54" s="1" t="s">
        <v>57</v>
      </c>
    </row>
    <row r="55" spans="1:14" x14ac:dyDescent="0.25">
      <c r="A55" s="79"/>
      <c r="B55" s="79"/>
      <c r="C55" s="80"/>
      <c r="D55" s="79"/>
      <c r="E55" s="81"/>
      <c r="F55" s="81"/>
      <c r="G55" s="81"/>
      <c r="H55" s="82"/>
      <c r="I55" s="13"/>
      <c r="J55" s="13"/>
      <c r="K55" s="3"/>
      <c r="L55" s="13"/>
      <c r="M55" s="13"/>
      <c r="N55" s="7"/>
    </row>
    <row r="56" spans="1:14" ht="15.75" x14ac:dyDescent="0.25">
      <c r="A56" s="114" t="s">
        <v>131</v>
      </c>
      <c r="B56" s="115"/>
      <c r="C56" s="115"/>
      <c r="D56" s="115"/>
      <c r="E56" s="115"/>
      <c r="F56" s="115"/>
      <c r="G56" s="115"/>
      <c r="H56" s="116"/>
      <c r="K56" s="3"/>
      <c r="L56" s="13"/>
      <c r="M56" s="13"/>
      <c r="N56" s="7"/>
    </row>
    <row r="57" spans="1:14" x14ac:dyDescent="0.25">
      <c r="A57" s="1" t="s">
        <v>1</v>
      </c>
      <c r="B57" s="1"/>
      <c r="C57" s="1" t="s">
        <v>2</v>
      </c>
      <c r="D57" s="1" t="s">
        <v>3</v>
      </c>
      <c r="E57" s="1" t="s">
        <v>4</v>
      </c>
      <c r="F57" s="1" t="s">
        <v>13</v>
      </c>
      <c r="G57" s="1" t="s">
        <v>5</v>
      </c>
      <c r="H57" s="1" t="s">
        <v>6</v>
      </c>
      <c r="K57" s="3"/>
      <c r="L57" s="13"/>
      <c r="M57" s="13"/>
      <c r="N57" s="7"/>
    </row>
    <row r="58" spans="1:14" x14ac:dyDescent="0.25">
      <c r="A58" s="1"/>
      <c r="B58" s="33" t="s">
        <v>131</v>
      </c>
      <c r="C58" s="1"/>
      <c r="D58" s="1"/>
      <c r="E58" s="1" t="s">
        <v>7</v>
      </c>
      <c r="F58" s="1" t="s">
        <v>7</v>
      </c>
      <c r="G58" s="1" t="s">
        <v>7</v>
      </c>
      <c r="H58" s="1" t="s">
        <v>8</v>
      </c>
      <c r="K58" s="3"/>
      <c r="L58" s="13"/>
      <c r="M58" s="13"/>
      <c r="N58" s="7"/>
    </row>
    <row r="59" spans="1:14" x14ac:dyDescent="0.25">
      <c r="A59" s="131">
        <v>1</v>
      </c>
      <c r="B59" s="33" t="s">
        <v>131</v>
      </c>
      <c r="C59" s="133" t="str">
        <f>A56</f>
        <v>SAND FILL</v>
      </c>
      <c r="D59" s="135">
        <f>D45</f>
        <v>1</v>
      </c>
      <c r="E59" s="135">
        <f t="shared" ref="E59:F59" si="1">E45</f>
        <v>16.509999999999998</v>
      </c>
      <c r="F59" s="135">
        <f t="shared" si="1"/>
        <v>6.98</v>
      </c>
      <c r="G59" s="135">
        <v>0.45</v>
      </c>
      <c r="H59" s="132">
        <f>D59*E59*F59*G59</f>
        <v>51.857909999999997</v>
      </c>
      <c r="J59" s="11"/>
      <c r="K59" s="3"/>
      <c r="L59" s="13"/>
      <c r="M59" s="13"/>
      <c r="N59" s="7"/>
    </row>
    <row r="60" spans="1:14" x14ac:dyDescent="0.25">
      <c r="A60" s="33"/>
      <c r="B60" s="33"/>
      <c r="C60" s="46"/>
      <c r="D60" s="29"/>
      <c r="E60" s="29"/>
      <c r="F60" s="29"/>
      <c r="G60" s="33"/>
      <c r="H60" s="48"/>
      <c r="J60" s="11"/>
      <c r="K60" s="3"/>
      <c r="L60" s="13"/>
      <c r="M60" s="13"/>
      <c r="N60" s="7"/>
    </row>
    <row r="61" spans="1:14" x14ac:dyDescent="0.25">
      <c r="A61" s="33"/>
      <c r="B61" s="33"/>
      <c r="C61" s="46"/>
      <c r="D61" s="29"/>
      <c r="E61" s="29"/>
      <c r="F61" s="29"/>
      <c r="G61" s="33"/>
      <c r="H61" s="48"/>
      <c r="J61" s="11"/>
      <c r="K61" s="3"/>
      <c r="L61" s="13"/>
      <c r="M61" s="13"/>
      <c r="N61" s="7"/>
    </row>
    <row r="62" spans="1:14" x14ac:dyDescent="0.25">
      <c r="A62" s="33"/>
      <c r="B62" s="33"/>
      <c r="C62" s="46"/>
      <c r="D62" s="29"/>
      <c r="E62" s="29"/>
      <c r="F62" s="29"/>
      <c r="G62" s="33"/>
      <c r="H62" s="48"/>
      <c r="J62" s="11"/>
      <c r="K62" s="3"/>
      <c r="L62" s="13"/>
      <c r="M62" s="13"/>
      <c r="N62" s="7"/>
    </row>
    <row r="63" spans="1:14" x14ac:dyDescent="0.25">
      <c r="A63" s="33"/>
      <c r="B63" s="33"/>
      <c r="C63" s="46"/>
      <c r="D63" s="29"/>
      <c r="E63" s="29"/>
      <c r="F63" s="29"/>
      <c r="G63" s="33"/>
      <c r="H63" s="48"/>
      <c r="J63" s="11"/>
      <c r="K63" s="3"/>
      <c r="L63" s="13"/>
      <c r="M63" s="13"/>
      <c r="N63" s="7"/>
    </row>
    <row r="64" spans="1:14" x14ac:dyDescent="0.25">
      <c r="A64" s="7"/>
      <c r="B64" s="7"/>
      <c r="C64" s="16"/>
      <c r="D64" s="7"/>
      <c r="E64" s="11"/>
      <c r="F64" s="11"/>
      <c r="G64" s="11"/>
      <c r="H64" s="13"/>
      <c r="I64" s="52">
        <f>SUM(H59:H63)*1.1</f>
        <v>57.043700999999999</v>
      </c>
      <c r="J64" s="19" t="s">
        <v>37</v>
      </c>
      <c r="K64" s="3"/>
      <c r="L64" s="13"/>
      <c r="M64" s="13"/>
      <c r="N64" s="7"/>
    </row>
    <row r="65" spans="1:14" x14ac:dyDescent="0.25">
      <c r="A65" s="79"/>
      <c r="B65" s="79"/>
      <c r="C65" s="80"/>
      <c r="D65" s="79"/>
      <c r="E65" s="81"/>
      <c r="F65" s="81"/>
      <c r="G65" s="81"/>
      <c r="H65" s="82"/>
      <c r="I65" s="13"/>
      <c r="J65" s="13"/>
      <c r="K65" s="3"/>
      <c r="L65" s="13"/>
      <c r="M65" s="13"/>
      <c r="N65" s="7"/>
    </row>
    <row r="66" spans="1:14" x14ac:dyDescent="0.25">
      <c r="A66" s="79"/>
      <c r="B66" s="79"/>
      <c r="C66" s="80"/>
      <c r="D66" s="79"/>
      <c r="E66" s="81"/>
      <c r="F66" s="81"/>
      <c r="G66" s="81"/>
      <c r="H66" s="82"/>
      <c r="I66" s="13"/>
      <c r="J66" s="13"/>
      <c r="K66" s="3"/>
      <c r="L66" s="13"/>
      <c r="M66" s="13"/>
      <c r="N66" s="7"/>
    </row>
    <row r="67" spans="1:14" x14ac:dyDescent="0.25">
      <c r="A67" s="79"/>
      <c r="B67" s="79"/>
      <c r="C67" s="80"/>
      <c r="D67" s="79"/>
      <c r="E67" s="81"/>
      <c r="F67" s="81"/>
      <c r="G67" s="81"/>
      <c r="H67" s="82"/>
      <c r="I67" s="6"/>
      <c r="J67" s="3"/>
      <c r="K67" s="3"/>
    </row>
    <row r="68" spans="1:14" ht="15.75" x14ac:dyDescent="0.25">
      <c r="A68" s="114" t="s">
        <v>37</v>
      </c>
      <c r="B68" s="115"/>
      <c r="C68" s="115"/>
      <c r="D68" s="115"/>
      <c r="E68" s="115"/>
      <c r="F68" s="115"/>
      <c r="G68" s="115"/>
      <c r="H68" s="116"/>
      <c r="L68" s="7"/>
      <c r="M68" s="92"/>
      <c r="N68" s="7"/>
    </row>
    <row r="69" spans="1:14" x14ac:dyDescent="0.25">
      <c r="A69" s="1" t="s">
        <v>1</v>
      </c>
      <c r="B69" s="1"/>
      <c r="C69" s="1" t="s">
        <v>2</v>
      </c>
      <c r="D69" s="1" t="s">
        <v>3</v>
      </c>
      <c r="E69" s="1" t="s">
        <v>4</v>
      </c>
      <c r="F69" s="1" t="s">
        <v>13</v>
      </c>
      <c r="G69" s="1" t="s">
        <v>5</v>
      </c>
      <c r="H69" s="1" t="s">
        <v>6</v>
      </c>
      <c r="L69" s="7"/>
      <c r="M69" s="92"/>
      <c r="N69" s="7"/>
    </row>
    <row r="70" spans="1:14" x14ac:dyDescent="0.25">
      <c r="A70" s="1"/>
      <c r="B70" s="131" t="str">
        <f>$A$68</f>
        <v>CC 1 : 4 : 8</v>
      </c>
      <c r="C70" s="1"/>
      <c r="D70" s="1"/>
      <c r="E70" s="1" t="s">
        <v>7</v>
      </c>
      <c r="F70" s="1" t="s">
        <v>7</v>
      </c>
      <c r="G70" s="1" t="s">
        <v>7</v>
      </c>
      <c r="H70" s="1" t="s">
        <v>8</v>
      </c>
      <c r="L70" s="7"/>
    </row>
    <row r="71" spans="1:14" x14ac:dyDescent="0.25">
      <c r="A71" s="131">
        <v>1</v>
      </c>
      <c r="B71" s="131" t="str">
        <f>$A$68</f>
        <v>CC 1 : 4 : 8</v>
      </c>
      <c r="C71" s="133" t="str">
        <f>C45</f>
        <v>COOLING TOWER</v>
      </c>
      <c r="D71" s="135">
        <f>D45</f>
        <v>1</v>
      </c>
      <c r="E71" s="135">
        <f>E45</f>
        <v>16.509999999999998</v>
      </c>
      <c r="F71" s="135">
        <f>F45</f>
        <v>6.98</v>
      </c>
      <c r="G71" s="135">
        <v>0.05</v>
      </c>
      <c r="H71" s="132">
        <f>D71*E71*F71*G71</f>
        <v>5.7619899999999999</v>
      </c>
      <c r="J71" s="11"/>
      <c r="K71" s="11"/>
      <c r="L71" s="13"/>
    </row>
    <row r="72" spans="1:14" x14ac:dyDescent="0.25">
      <c r="A72" s="33"/>
      <c r="B72" s="33"/>
      <c r="C72" s="46"/>
      <c r="D72" s="29"/>
      <c r="E72" s="29"/>
      <c r="F72" s="29"/>
      <c r="G72" s="33"/>
      <c r="H72" s="48"/>
      <c r="J72" s="11"/>
      <c r="K72" s="11"/>
      <c r="L72" s="13"/>
    </row>
    <row r="73" spans="1:14" x14ac:dyDescent="0.25">
      <c r="A73" s="33"/>
      <c r="B73" s="33"/>
      <c r="C73" s="46"/>
      <c r="D73" s="29"/>
      <c r="E73" s="29"/>
      <c r="F73" s="29"/>
      <c r="G73" s="33"/>
      <c r="H73" s="48"/>
      <c r="J73" s="11"/>
      <c r="K73" s="11"/>
      <c r="L73" s="13"/>
    </row>
    <row r="74" spans="1:14" x14ac:dyDescent="0.25">
      <c r="A74" s="33"/>
      <c r="B74" s="33"/>
      <c r="C74" s="46"/>
      <c r="D74" s="29"/>
      <c r="E74" s="29"/>
      <c r="F74" s="29"/>
      <c r="G74" s="33"/>
      <c r="H74" s="48"/>
      <c r="J74" s="11"/>
      <c r="K74" s="11"/>
      <c r="L74" s="13"/>
    </row>
    <row r="75" spans="1:14" x14ac:dyDescent="0.25">
      <c r="A75" s="33"/>
      <c r="B75" s="33"/>
      <c r="C75" s="46"/>
      <c r="D75" s="29"/>
      <c r="E75" s="29"/>
      <c r="F75" s="29"/>
      <c r="G75" s="33"/>
      <c r="H75" s="48"/>
      <c r="J75" s="11"/>
      <c r="K75" s="11"/>
      <c r="L75" s="13"/>
    </row>
    <row r="76" spans="1:14" x14ac:dyDescent="0.25">
      <c r="A76" s="7"/>
      <c r="B76" s="7"/>
      <c r="C76" s="16"/>
      <c r="D76" s="7"/>
      <c r="E76" s="11"/>
      <c r="F76" s="11"/>
      <c r="G76" s="11"/>
      <c r="H76" s="13"/>
      <c r="I76" s="52">
        <f>SUM(H71:H75)*1.1</f>
        <v>6.3381890000000007</v>
      </c>
      <c r="J76" s="19" t="s">
        <v>37</v>
      </c>
    </row>
    <row r="77" spans="1:14" x14ac:dyDescent="0.25">
      <c r="A77" s="7"/>
      <c r="B77" s="7"/>
      <c r="C77" s="16"/>
      <c r="D77" s="7"/>
      <c r="E77" s="11"/>
      <c r="F77" s="11"/>
      <c r="G77" s="11"/>
      <c r="H77" s="13"/>
      <c r="I77" s="17"/>
      <c r="J77" s="3"/>
      <c r="K77" s="3"/>
      <c r="M77" s="3"/>
    </row>
    <row r="78" spans="1:14" ht="15.75" x14ac:dyDescent="0.25">
      <c r="A78" s="114" t="s">
        <v>38</v>
      </c>
      <c r="B78" s="115"/>
      <c r="C78" s="115"/>
      <c r="D78" s="115"/>
      <c r="E78" s="115"/>
      <c r="F78" s="115"/>
      <c r="G78" s="115"/>
      <c r="H78" s="116"/>
      <c r="I78" s="11"/>
    </row>
    <row r="79" spans="1:14" x14ac:dyDescent="0.25">
      <c r="A79" s="1" t="s">
        <v>1</v>
      </c>
      <c r="B79" s="1"/>
      <c r="C79" s="1" t="s">
        <v>2</v>
      </c>
      <c r="D79" s="1" t="s">
        <v>3</v>
      </c>
      <c r="E79" s="1" t="s">
        <v>4</v>
      </c>
      <c r="F79" s="1" t="s">
        <v>13</v>
      </c>
      <c r="G79" s="1" t="s">
        <v>5</v>
      </c>
      <c r="H79" s="1" t="s">
        <v>6</v>
      </c>
      <c r="I79" s="11"/>
    </row>
    <row r="80" spans="1:14" x14ac:dyDescent="0.25">
      <c r="A80" s="1"/>
      <c r="B80" s="131" t="str">
        <f>$A$78</f>
        <v>RCC 3750 PSI</v>
      </c>
      <c r="C80" s="100" t="s">
        <v>51</v>
      </c>
      <c r="D80" s="12"/>
      <c r="E80" s="12" t="s">
        <v>7</v>
      </c>
      <c r="F80" s="12" t="s">
        <v>7</v>
      </c>
      <c r="G80" s="12" t="s">
        <v>7</v>
      </c>
      <c r="H80" s="12" t="s">
        <v>8</v>
      </c>
      <c r="I80" s="11"/>
    </row>
    <row r="81" spans="1:11" x14ac:dyDescent="0.25">
      <c r="A81" s="131">
        <v>1</v>
      </c>
      <c r="B81" s="131" t="str">
        <f>$A$78</f>
        <v>RCC 3750 PSI</v>
      </c>
      <c r="C81" s="133" t="str">
        <f>C45</f>
        <v>COOLING TOWER</v>
      </c>
      <c r="D81" s="135">
        <f>1</f>
        <v>1</v>
      </c>
      <c r="E81" s="134">
        <f>E59-0.15</f>
        <v>16.36</v>
      </c>
      <c r="F81" s="134">
        <f>F59-0.15</f>
        <v>6.83</v>
      </c>
      <c r="G81" s="131">
        <v>0.4</v>
      </c>
      <c r="H81" s="132">
        <f>D81*E81*F81*G81</f>
        <v>44.695520000000002</v>
      </c>
      <c r="I81" s="11"/>
    </row>
    <row r="82" spans="1:11" x14ac:dyDescent="0.25">
      <c r="A82" s="69"/>
      <c r="B82" s="69"/>
      <c r="C82" s="100" t="s">
        <v>52</v>
      </c>
      <c r="D82" s="69"/>
      <c r="E82" s="69"/>
      <c r="F82" s="69"/>
      <c r="G82" s="69"/>
      <c r="H82" s="74"/>
      <c r="I82" s="11"/>
    </row>
    <row r="83" spans="1:11" x14ac:dyDescent="0.25">
      <c r="A83" s="131">
        <v>1</v>
      </c>
      <c r="B83" s="131" t="str">
        <f t="shared" ref="B83:B84" si="2">$A$78</f>
        <v>RCC 3750 PSI</v>
      </c>
      <c r="C83" s="133" t="s">
        <v>117</v>
      </c>
      <c r="D83" s="131">
        <f>1</f>
        <v>1</v>
      </c>
      <c r="E83" s="175">
        <f>0.2*1.5</f>
        <v>0.30000000000000004</v>
      </c>
      <c r="F83" s="176"/>
      <c r="G83" s="131">
        <f>2*15.76+2*6.23</f>
        <v>43.980000000000004</v>
      </c>
      <c r="H83" s="134">
        <f>D83*E83*G83</f>
        <v>13.194000000000003</v>
      </c>
      <c r="I83" s="11"/>
    </row>
    <row r="84" spans="1:11" x14ac:dyDescent="0.25">
      <c r="A84" s="131">
        <v>2</v>
      </c>
      <c r="B84" s="131" t="str">
        <f t="shared" si="2"/>
        <v>RCC 3750 PSI</v>
      </c>
      <c r="C84" s="151" t="s">
        <v>118</v>
      </c>
      <c r="D84" s="131">
        <f>40</f>
        <v>40</v>
      </c>
      <c r="E84" s="131">
        <v>0.3</v>
      </c>
      <c r="F84" s="131">
        <v>0.3</v>
      </c>
      <c r="G84" s="131">
        <v>1.3</v>
      </c>
      <c r="H84" s="132">
        <f>D84*E84*F84*G84</f>
        <v>4.68</v>
      </c>
      <c r="I84" s="11"/>
    </row>
    <row r="85" spans="1:11" x14ac:dyDescent="0.25">
      <c r="A85" s="33"/>
      <c r="B85" s="33"/>
      <c r="C85" s="57"/>
      <c r="D85" s="29"/>
      <c r="E85" s="33"/>
      <c r="F85" s="33"/>
      <c r="G85" s="33"/>
      <c r="H85" s="50"/>
      <c r="I85" s="11"/>
    </row>
    <row r="86" spans="1:11" x14ac:dyDescent="0.25">
      <c r="A86" s="7"/>
      <c r="B86" s="7"/>
      <c r="C86" s="16"/>
      <c r="D86" s="7"/>
      <c r="E86" s="11"/>
      <c r="F86" s="11"/>
      <c r="G86" s="11"/>
      <c r="H86" s="13"/>
      <c r="I86" s="141">
        <f>SUM(H81:H86)*1.1</f>
        <v>68.82647200000001</v>
      </c>
      <c r="J86" s="20" t="s">
        <v>38</v>
      </c>
      <c r="K86" s="3"/>
    </row>
    <row r="87" spans="1:11" x14ac:dyDescent="0.25">
      <c r="A87" s="7"/>
      <c r="B87" s="7"/>
      <c r="C87" s="16"/>
      <c r="D87" s="7"/>
      <c r="E87" s="11"/>
      <c r="F87" s="11"/>
      <c r="G87" s="11"/>
      <c r="H87" s="13"/>
      <c r="I87" s="17"/>
      <c r="J87" s="3"/>
      <c r="K87" s="3"/>
    </row>
    <row r="88" spans="1:11" ht="15.75" x14ac:dyDescent="0.25">
      <c r="A88" s="114" t="s">
        <v>21</v>
      </c>
      <c r="B88" s="115"/>
      <c r="C88" s="115"/>
      <c r="D88" s="115"/>
      <c r="E88" s="115"/>
      <c r="F88" s="115"/>
      <c r="G88" s="115"/>
      <c r="H88" s="116"/>
      <c r="I88" s="3"/>
      <c r="J88" s="3"/>
      <c r="K88" s="3"/>
    </row>
    <row r="89" spans="1:11" x14ac:dyDescent="0.25">
      <c r="A89" s="1" t="s">
        <v>1</v>
      </c>
      <c r="B89" s="1"/>
      <c r="C89" s="1" t="s">
        <v>2</v>
      </c>
      <c r="D89" s="1" t="s">
        <v>3</v>
      </c>
      <c r="E89" s="1" t="s">
        <v>4</v>
      </c>
      <c r="F89" s="1" t="s">
        <v>13</v>
      </c>
      <c r="G89" s="1" t="s">
        <v>5</v>
      </c>
      <c r="H89" s="1" t="s">
        <v>6</v>
      </c>
      <c r="I89" s="3"/>
      <c r="J89" s="3"/>
      <c r="K89" s="3"/>
    </row>
    <row r="90" spans="1:11" x14ac:dyDescent="0.25">
      <c r="A90" s="1"/>
      <c r="B90" s="131" t="str">
        <f>$A$88</f>
        <v>BITUMEN COATING</v>
      </c>
      <c r="C90" s="1"/>
      <c r="D90" s="1"/>
      <c r="E90" s="1" t="s">
        <v>7</v>
      </c>
      <c r="F90" s="1" t="s">
        <v>7</v>
      </c>
      <c r="G90" s="1" t="s">
        <v>7</v>
      </c>
      <c r="H90" s="1" t="s">
        <v>22</v>
      </c>
      <c r="I90" s="3"/>
      <c r="J90" s="3"/>
      <c r="K90" s="3"/>
    </row>
    <row r="91" spans="1:11" x14ac:dyDescent="0.25">
      <c r="A91" s="131">
        <v>1</v>
      </c>
      <c r="B91" s="131" t="str">
        <f>$A$88</f>
        <v>BITUMEN COATING</v>
      </c>
      <c r="C91" s="133" t="s">
        <v>64</v>
      </c>
      <c r="D91" s="135">
        <f>1</f>
        <v>1</v>
      </c>
      <c r="E91" s="177">
        <f>2*E81+2*F81</f>
        <v>46.379999999999995</v>
      </c>
      <c r="F91" s="178"/>
      <c r="G91" s="135">
        <f>0.15+0.4</f>
        <v>0.55000000000000004</v>
      </c>
      <c r="H91" s="132">
        <f>D91*E91*G91</f>
        <v>25.509</v>
      </c>
      <c r="I91" s="3"/>
      <c r="J91" s="3"/>
      <c r="K91" s="3"/>
    </row>
    <row r="92" spans="1:11" x14ac:dyDescent="0.25">
      <c r="A92" s="131">
        <v>2</v>
      </c>
      <c r="B92" s="131" t="str">
        <f t="shared" ref="B92" si="3">$A$88</f>
        <v>BITUMEN COATING</v>
      </c>
      <c r="C92" s="136" t="s">
        <v>65</v>
      </c>
      <c r="D92" s="135">
        <f>1</f>
        <v>1</v>
      </c>
      <c r="E92" s="177">
        <f>E81*F81</f>
        <v>111.7388</v>
      </c>
      <c r="F92" s="178"/>
      <c r="G92" s="135" t="s">
        <v>104</v>
      </c>
      <c r="H92" s="132">
        <f>D92*E92</f>
        <v>111.7388</v>
      </c>
      <c r="I92" s="3"/>
      <c r="J92" s="3"/>
      <c r="K92" s="3"/>
    </row>
    <row r="93" spans="1:11" x14ac:dyDescent="0.25">
      <c r="A93" s="131"/>
      <c r="B93" s="131"/>
      <c r="C93" s="136"/>
      <c r="D93" s="135"/>
      <c r="E93" s="169"/>
      <c r="F93" s="170"/>
      <c r="G93" s="135"/>
      <c r="H93" s="132"/>
      <c r="I93" s="3"/>
      <c r="J93" s="3"/>
      <c r="K93" s="3"/>
    </row>
    <row r="94" spans="1:11" x14ac:dyDescent="0.25">
      <c r="A94" s="1"/>
      <c r="B94" s="1"/>
      <c r="C94" s="5"/>
      <c r="D94" s="1"/>
      <c r="E94" s="14"/>
      <c r="F94" s="14"/>
      <c r="G94" s="1"/>
      <c r="H94" s="1"/>
      <c r="I94" s="141">
        <f>SUM(H91:H94)*1.1</f>
        <v>150.97257999999999</v>
      </c>
      <c r="J94" s="20" t="s">
        <v>23</v>
      </c>
      <c r="K94" s="3"/>
    </row>
    <row r="95" spans="1:11" x14ac:dyDescent="0.25">
      <c r="A95" s="21"/>
      <c r="B95" s="21"/>
      <c r="C95" s="22"/>
      <c r="D95" s="21"/>
      <c r="E95" s="23"/>
      <c r="F95" s="23"/>
      <c r="G95" s="21"/>
      <c r="H95" s="21"/>
      <c r="I95" s="101"/>
      <c r="J95" s="102"/>
      <c r="K95" s="3"/>
    </row>
    <row r="96" spans="1:11" x14ac:dyDescent="0.25">
      <c r="A96" s="21"/>
      <c r="B96" s="21"/>
      <c r="C96" s="22"/>
      <c r="D96" s="21"/>
      <c r="E96" s="23"/>
      <c r="F96" s="23"/>
      <c r="G96" s="21"/>
      <c r="H96" s="21"/>
      <c r="I96" s="3"/>
      <c r="J96" s="3"/>
      <c r="K96" s="3"/>
    </row>
    <row r="97" spans="1:10" ht="15.75" x14ac:dyDescent="0.25">
      <c r="A97" s="114" t="s">
        <v>12</v>
      </c>
      <c r="B97" s="115"/>
      <c r="C97" s="115"/>
      <c r="D97" s="115"/>
      <c r="E97" s="115"/>
      <c r="F97" s="115"/>
      <c r="G97" s="115"/>
      <c r="H97" s="116"/>
    </row>
    <row r="98" spans="1:10" x14ac:dyDescent="0.25">
      <c r="A98" s="1" t="s">
        <v>1</v>
      </c>
      <c r="B98" s="1"/>
      <c r="C98" s="1" t="s">
        <v>2</v>
      </c>
      <c r="D98" s="1" t="s">
        <v>3</v>
      </c>
      <c r="E98" s="1" t="s">
        <v>14</v>
      </c>
      <c r="F98" s="1" t="s">
        <v>9</v>
      </c>
      <c r="G98" s="1" t="s">
        <v>10</v>
      </c>
      <c r="H98" s="1" t="s">
        <v>10</v>
      </c>
    </row>
    <row r="99" spans="1:10" x14ac:dyDescent="0.25">
      <c r="A99" s="1"/>
      <c r="B99" s="131" t="str">
        <f>$A$97</f>
        <v>REINFORCEMENT</v>
      </c>
      <c r="C99" s="1"/>
      <c r="D99" s="1"/>
      <c r="E99" s="1" t="s">
        <v>15</v>
      </c>
      <c r="F99" s="1" t="s">
        <v>16</v>
      </c>
      <c r="G99" s="1" t="s">
        <v>11</v>
      </c>
      <c r="H99" s="12" t="s">
        <v>89</v>
      </c>
    </row>
    <row r="100" spans="1:10" x14ac:dyDescent="0.25">
      <c r="A100" s="1"/>
      <c r="B100" s="1"/>
      <c r="C100" s="5" t="s">
        <v>12</v>
      </c>
      <c r="D100" s="1"/>
      <c r="E100" s="1"/>
      <c r="F100" s="1"/>
      <c r="G100" s="1"/>
      <c r="H100" s="1"/>
    </row>
    <row r="101" spans="1:10" x14ac:dyDescent="0.25">
      <c r="A101" s="131">
        <v>1</v>
      </c>
      <c r="B101" s="131" t="str">
        <f>$A$97</f>
        <v>REINFORCEMENT</v>
      </c>
      <c r="C101" s="133" t="str">
        <f>C45</f>
        <v>COOLING TOWER</v>
      </c>
      <c r="D101" s="131"/>
      <c r="E101" s="138">
        <f>I86</f>
        <v>68.82647200000001</v>
      </c>
      <c r="F101" s="131">
        <v>100</v>
      </c>
      <c r="G101" s="131">
        <f>E101*F101</f>
        <v>6882.6472000000012</v>
      </c>
      <c r="H101" s="131">
        <f>G101/1000</f>
        <v>6.882647200000001</v>
      </c>
      <c r="I101" s="9"/>
      <c r="J101" s="9"/>
    </row>
    <row r="102" spans="1:10" x14ac:dyDescent="0.25">
      <c r="A102" s="1"/>
      <c r="B102" s="1"/>
      <c r="C102" s="4"/>
      <c r="D102" s="1"/>
      <c r="E102" s="25"/>
      <c r="F102" s="1"/>
      <c r="G102" s="1"/>
      <c r="H102" s="1"/>
      <c r="I102" s="9"/>
      <c r="J102" s="9"/>
    </row>
    <row r="103" spans="1:10" x14ac:dyDescent="0.25">
      <c r="A103" s="4"/>
      <c r="B103" s="4"/>
      <c r="C103" s="4"/>
      <c r="D103" s="97" t="s">
        <v>18</v>
      </c>
      <c r="E103" s="47">
        <f>SUM(E101:E102)</f>
        <v>68.82647200000001</v>
      </c>
      <c r="F103" s="1"/>
      <c r="G103" s="97">
        <f>SUM(G101:G102)</f>
        <v>6882.6472000000012</v>
      </c>
      <c r="H103" s="112">
        <f>SUM(H101:H102)</f>
        <v>6.882647200000001</v>
      </c>
      <c r="I103" s="139">
        <f>H103*1.1</f>
        <v>7.5709119200000012</v>
      </c>
      <c r="J103" s="53" t="s">
        <v>24</v>
      </c>
    </row>
    <row r="104" spans="1:10" x14ac:dyDescent="0.25">
      <c r="A104" s="11"/>
      <c r="B104" s="11"/>
      <c r="C104" s="11"/>
      <c r="D104" s="11"/>
      <c r="E104" s="11"/>
      <c r="F104" s="41" t="s">
        <v>17</v>
      </c>
      <c r="G104" s="41">
        <f>H103*1000/E103</f>
        <v>100</v>
      </c>
      <c r="H104" s="11"/>
    </row>
    <row r="105" spans="1:10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9"/>
    </row>
    <row r="106" spans="1:10" ht="15.75" x14ac:dyDescent="0.25">
      <c r="A106" s="114" t="s">
        <v>41</v>
      </c>
      <c r="B106" s="115"/>
      <c r="C106" s="115"/>
      <c r="D106" s="115"/>
      <c r="E106" s="115"/>
      <c r="F106" s="115"/>
      <c r="G106" s="115"/>
      <c r="H106" s="116"/>
      <c r="I106" s="9"/>
      <c r="J106" s="9"/>
    </row>
    <row r="107" spans="1:10" x14ac:dyDescent="0.25">
      <c r="A107" s="1" t="s">
        <v>1</v>
      </c>
      <c r="B107" s="1"/>
      <c r="C107" s="1" t="s">
        <v>2</v>
      </c>
      <c r="D107" s="1" t="s">
        <v>3</v>
      </c>
      <c r="E107" s="1" t="s">
        <v>4</v>
      </c>
      <c r="F107" s="1" t="s">
        <v>13</v>
      </c>
      <c r="G107" s="1" t="s">
        <v>5</v>
      </c>
      <c r="H107" s="1" t="s">
        <v>6</v>
      </c>
      <c r="I107" s="9"/>
      <c r="J107" s="9"/>
    </row>
    <row r="108" spans="1:10" x14ac:dyDescent="0.25">
      <c r="A108" s="1"/>
      <c r="B108" s="131" t="s">
        <v>41</v>
      </c>
      <c r="C108" s="1"/>
      <c r="D108" s="1"/>
      <c r="E108" s="1" t="s">
        <v>7</v>
      </c>
      <c r="F108" s="1" t="s">
        <v>7</v>
      </c>
      <c r="G108" s="1" t="s">
        <v>7</v>
      </c>
      <c r="H108" s="1" t="s">
        <v>8</v>
      </c>
      <c r="I108" s="9"/>
      <c r="J108" s="9"/>
    </row>
    <row r="109" spans="1:10" x14ac:dyDescent="0.25">
      <c r="A109" s="131">
        <v>1</v>
      </c>
      <c r="B109" s="131" t="s">
        <v>41</v>
      </c>
      <c r="C109" s="133" t="s">
        <v>119</v>
      </c>
      <c r="D109" s="135">
        <f>40</f>
        <v>40</v>
      </c>
      <c r="E109" s="146">
        <v>0.3</v>
      </c>
      <c r="F109" s="147">
        <v>0.3</v>
      </c>
      <c r="G109" s="131">
        <v>2.5000000000000001E-2</v>
      </c>
      <c r="H109" s="143">
        <f>D109*E109*F109*G109</f>
        <v>0.09</v>
      </c>
      <c r="I109" s="9"/>
      <c r="J109" s="9"/>
    </row>
    <row r="110" spans="1:10" x14ac:dyDescent="0.25">
      <c r="A110" s="131">
        <v>2</v>
      </c>
      <c r="B110" s="131" t="s">
        <v>41</v>
      </c>
      <c r="C110" s="133" t="s">
        <v>120</v>
      </c>
      <c r="D110" s="135">
        <f>40*4</f>
        <v>160</v>
      </c>
      <c r="E110" s="131">
        <v>0.1</v>
      </c>
      <c r="F110" s="131">
        <v>0.1</v>
      </c>
      <c r="G110" s="131">
        <v>0.60499999999999998</v>
      </c>
      <c r="H110" s="143">
        <f>D110*E110*F110*G110</f>
        <v>0.96799999999999997</v>
      </c>
      <c r="I110" s="9" t="s">
        <v>103</v>
      </c>
      <c r="J110" s="9"/>
    </row>
    <row r="111" spans="1:10" x14ac:dyDescent="0.25">
      <c r="A111" s="33"/>
      <c r="B111" s="33"/>
      <c r="C111" s="46"/>
      <c r="D111" s="103"/>
      <c r="E111" s="63"/>
      <c r="F111" s="63"/>
      <c r="G111" s="33"/>
      <c r="H111" s="58"/>
      <c r="I111" s="9"/>
      <c r="J111" s="9"/>
    </row>
    <row r="112" spans="1:10" x14ac:dyDescent="0.25">
      <c r="A112" s="69"/>
      <c r="B112" s="69"/>
      <c r="C112" s="70"/>
      <c r="D112" s="69"/>
      <c r="E112" s="69"/>
      <c r="F112" s="69"/>
      <c r="G112" s="69"/>
      <c r="H112" s="83"/>
      <c r="I112" s="139">
        <f>SUM(H109:H112)*1.1</f>
        <v>1.1638000000000002</v>
      </c>
      <c r="J112" s="53" t="s">
        <v>27</v>
      </c>
    </row>
    <row r="113" spans="1:10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</row>
    <row r="114" spans="1:10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</row>
    <row r="115" spans="1:10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</row>
    <row r="116" spans="1:10" ht="15.75" x14ac:dyDescent="0.25">
      <c r="A116" s="114" t="s">
        <v>99</v>
      </c>
      <c r="B116" s="115"/>
      <c r="C116" s="115"/>
      <c r="D116" s="115"/>
      <c r="E116" s="115"/>
      <c r="F116" s="115"/>
      <c r="G116" s="115"/>
      <c r="H116" s="116"/>
      <c r="I116" s="9"/>
      <c r="J116" s="9"/>
    </row>
    <row r="117" spans="1:10" x14ac:dyDescent="0.25">
      <c r="A117" s="1" t="s">
        <v>1</v>
      </c>
      <c r="B117" s="1"/>
      <c r="C117" s="1" t="s">
        <v>2</v>
      </c>
      <c r="D117" s="1" t="s">
        <v>3</v>
      </c>
      <c r="E117" s="1" t="s">
        <v>4</v>
      </c>
      <c r="F117" s="1" t="s">
        <v>13</v>
      </c>
      <c r="G117" s="1" t="s">
        <v>5</v>
      </c>
      <c r="H117" s="1" t="s">
        <v>6</v>
      </c>
      <c r="I117" s="9"/>
      <c r="J117" s="9"/>
    </row>
    <row r="118" spans="1:10" x14ac:dyDescent="0.25">
      <c r="A118" s="1"/>
      <c r="B118" s="131" t="s">
        <v>99</v>
      </c>
      <c r="C118" s="1"/>
      <c r="D118" s="1"/>
      <c r="E118" s="1" t="s">
        <v>7</v>
      </c>
      <c r="F118" s="1" t="s">
        <v>7</v>
      </c>
      <c r="G118" s="1" t="s">
        <v>7</v>
      </c>
      <c r="H118" s="1" t="s">
        <v>7</v>
      </c>
      <c r="I118" s="9"/>
      <c r="J118" s="9"/>
    </row>
    <row r="119" spans="1:10" x14ac:dyDescent="0.25">
      <c r="A119" s="131">
        <v>1</v>
      </c>
      <c r="B119" s="131" t="s">
        <v>99</v>
      </c>
      <c r="C119" s="133" t="s">
        <v>121</v>
      </c>
      <c r="D119" s="135">
        <f>1</f>
        <v>1</v>
      </c>
      <c r="E119" s="146">
        <f>2*15.76+2*6.23</f>
        <v>43.980000000000004</v>
      </c>
      <c r="F119" s="147"/>
      <c r="G119" s="131"/>
      <c r="H119" s="143">
        <f>D119*E119</f>
        <v>43.980000000000004</v>
      </c>
      <c r="I119" s="9"/>
      <c r="J119" s="9"/>
    </row>
    <row r="120" spans="1:10" x14ac:dyDescent="0.25">
      <c r="A120" s="131"/>
      <c r="B120" s="131"/>
      <c r="C120" s="133"/>
      <c r="D120" s="131"/>
      <c r="E120" s="131"/>
      <c r="F120" s="131"/>
      <c r="G120" s="131"/>
      <c r="H120" s="143"/>
      <c r="I120" s="9"/>
      <c r="J120" s="9"/>
    </row>
    <row r="121" spans="1:10" x14ac:dyDescent="0.25">
      <c r="A121" s="33"/>
      <c r="B121" s="33"/>
      <c r="C121" s="46"/>
      <c r="D121" s="103"/>
      <c r="E121" s="63"/>
      <c r="F121" s="63"/>
      <c r="G121" s="33"/>
      <c r="H121" s="58"/>
      <c r="I121" s="9"/>
      <c r="J121" s="9"/>
    </row>
    <row r="122" spans="1:10" x14ac:dyDescent="0.25">
      <c r="A122" s="69"/>
      <c r="B122" s="69"/>
      <c r="C122" s="70"/>
      <c r="D122" s="69"/>
      <c r="E122" s="69"/>
      <c r="F122" s="69"/>
      <c r="G122" s="69"/>
      <c r="H122" s="83"/>
      <c r="I122" s="139">
        <f>SUM(H119:H122)*1.1</f>
        <v>48.378000000000007</v>
      </c>
      <c r="J122" s="53" t="str">
        <f>A116</f>
        <v>PVC WATER STOPPER</v>
      </c>
    </row>
    <row r="123" spans="1:10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</row>
    <row r="124" spans="1:10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</row>
    <row r="125" spans="1:10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</row>
    <row r="126" spans="1:10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</row>
    <row r="127" spans="1:10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</row>
    <row r="128" spans="1:10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</row>
    <row r="129" spans="1:10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</row>
    <row r="130" spans="1:10" ht="15.75" x14ac:dyDescent="0.25">
      <c r="A130" s="152" t="s">
        <v>122</v>
      </c>
      <c r="B130" s="115"/>
      <c r="C130" s="115"/>
      <c r="D130" s="115"/>
      <c r="E130" s="115"/>
      <c r="F130" s="115"/>
      <c r="G130" s="115"/>
      <c r="H130" s="116"/>
      <c r="I130" s="9"/>
      <c r="J130" s="9"/>
    </row>
    <row r="131" spans="1:10" x14ac:dyDescent="0.25">
      <c r="A131" s="1" t="s">
        <v>1</v>
      </c>
      <c r="B131" s="1"/>
      <c r="C131" s="1" t="s">
        <v>2</v>
      </c>
      <c r="D131" s="1" t="s">
        <v>3</v>
      </c>
      <c r="E131" s="1"/>
      <c r="F131" s="1" t="s">
        <v>123</v>
      </c>
      <c r="G131" s="1" t="s">
        <v>45</v>
      </c>
      <c r="H131" s="1" t="s">
        <v>6</v>
      </c>
      <c r="I131" s="9"/>
      <c r="J131" s="9"/>
    </row>
    <row r="132" spans="1:10" x14ac:dyDescent="0.25">
      <c r="A132" s="1"/>
      <c r="B132" s="44"/>
      <c r="C132" s="1"/>
      <c r="D132" s="1"/>
      <c r="E132" s="1" t="s">
        <v>44</v>
      </c>
      <c r="F132" s="1" t="s">
        <v>7</v>
      </c>
      <c r="G132" s="1"/>
      <c r="H132" s="1" t="s">
        <v>7</v>
      </c>
      <c r="I132" s="9"/>
      <c r="J132" s="9"/>
    </row>
    <row r="133" spans="1:10" x14ac:dyDescent="0.25">
      <c r="A133" s="131">
        <v>1</v>
      </c>
      <c r="B133" s="133" t="s">
        <v>132</v>
      </c>
      <c r="C133" s="133" t="s">
        <v>132</v>
      </c>
      <c r="D133" s="135">
        <f>1</f>
        <v>1</v>
      </c>
      <c r="E133" s="145">
        <v>38</v>
      </c>
      <c r="F133" s="131">
        <f>0.3+0.3+0.2</f>
        <v>0.8</v>
      </c>
      <c r="G133" s="131"/>
      <c r="H133" s="131">
        <f t="shared" ref="H133:H138" si="4">D133*F133</f>
        <v>0.8</v>
      </c>
      <c r="I133" s="9"/>
      <c r="J133" s="9"/>
    </row>
    <row r="134" spans="1:10" x14ac:dyDescent="0.25">
      <c r="A134" s="131">
        <v>2</v>
      </c>
      <c r="B134" s="133" t="s">
        <v>133</v>
      </c>
      <c r="C134" s="133" t="s">
        <v>133</v>
      </c>
      <c r="D134" s="135">
        <f>1</f>
        <v>1</v>
      </c>
      <c r="E134" s="145">
        <v>50</v>
      </c>
      <c r="F134" s="131">
        <f t="shared" ref="F134:F138" si="5">0.3+0.3+0.2</f>
        <v>0.8</v>
      </c>
      <c r="G134" s="131"/>
      <c r="H134" s="131">
        <f t="shared" si="4"/>
        <v>0.8</v>
      </c>
      <c r="I134" s="9"/>
      <c r="J134" s="9"/>
    </row>
    <row r="135" spans="1:10" x14ac:dyDescent="0.25">
      <c r="A135" s="131">
        <v>3</v>
      </c>
      <c r="B135" s="133" t="s">
        <v>134</v>
      </c>
      <c r="C135" s="133" t="s">
        <v>134</v>
      </c>
      <c r="D135" s="135">
        <f>3</f>
        <v>3</v>
      </c>
      <c r="E135" s="145">
        <v>100</v>
      </c>
      <c r="F135" s="131">
        <f t="shared" si="5"/>
        <v>0.8</v>
      </c>
      <c r="G135" s="131"/>
      <c r="H135" s="131">
        <f t="shared" si="4"/>
        <v>2.4000000000000004</v>
      </c>
      <c r="I135" s="9"/>
      <c r="J135" s="9"/>
    </row>
    <row r="136" spans="1:10" x14ac:dyDescent="0.25">
      <c r="A136" s="131">
        <v>4</v>
      </c>
      <c r="B136" s="133" t="s">
        <v>135</v>
      </c>
      <c r="C136" s="133" t="s">
        <v>135</v>
      </c>
      <c r="D136" s="135">
        <f>1</f>
        <v>1</v>
      </c>
      <c r="E136" s="145">
        <v>150</v>
      </c>
      <c r="F136" s="131">
        <f t="shared" si="5"/>
        <v>0.8</v>
      </c>
      <c r="G136" s="131"/>
      <c r="H136" s="131">
        <f t="shared" si="4"/>
        <v>0.8</v>
      </c>
      <c r="I136" s="9"/>
      <c r="J136" s="9"/>
    </row>
    <row r="137" spans="1:10" x14ac:dyDescent="0.25">
      <c r="A137" s="131">
        <v>5</v>
      </c>
      <c r="B137" s="133" t="s">
        <v>136</v>
      </c>
      <c r="C137" s="133" t="s">
        <v>136</v>
      </c>
      <c r="D137" s="131">
        <f>2</f>
        <v>2</v>
      </c>
      <c r="E137" s="131">
        <v>200</v>
      </c>
      <c r="F137" s="131">
        <f t="shared" si="5"/>
        <v>0.8</v>
      </c>
      <c r="G137" s="131"/>
      <c r="H137" s="131">
        <f t="shared" si="4"/>
        <v>1.6</v>
      </c>
      <c r="I137" s="9"/>
      <c r="J137" s="9"/>
    </row>
    <row r="138" spans="1:10" x14ac:dyDescent="0.25">
      <c r="A138" s="131">
        <v>6</v>
      </c>
      <c r="B138" s="133" t="s">
        <v>137</v>
      </c>
      <c r="C138" s="133" t="s">
        <v>137</v>
      </c>
      <c r="D138" s="135">
        <f>1</f>
        <v>1</v>
      </c>
      <c r="E138" s="145">
        <v>250</v>
      </c>
      <c r="F138" s="131">
        <f t="shared" si="5"/>
        <v>0.8</v>
      </c>
      <c r="G138" s="131"/>
      <c r="H138" s="131">
        <f t="shared" si="4"/>
        <v>0.8</v>
      </c>
      <c r="I138" s="9"/>
      <c r="J138" s="9"/>
    </row>
    <row r="139" spans="1:10" x14ac:dyDescent="0.25">
      <c r="A139" s="33"/>
      <c r="B139" s="33"/>
      <c r="C139" s="46"/>
      <c r="D139" s="29"/>
      <c r="E139" s="59"/>
      <c r="F139" s="33"/>
      <c r="G139" s="33"/>
      <c r="H139" s="48"/>
      <c r="I139" s="9"/>
      <c r="J139" s="9"/>
    </row>
    <row r="140" spans="1:10" x14ac:dyDescent="0.25">
      <c r="A140" s="1"/>
      <c r="B140" s="1"/>
      <c r="C140" s="4"/>
      <c r="D140" s="4"/>
      <c r="E140" s="1"/>
      <c r="F140" s="1"/>
      <c r="G140" s="1"/>
      <c r="H140" s="25"/>
      <c r="I140" s="142">
        <f>SUM(H133:H139)*1.1</f>
        <v>7.9200000000000008</v>
      </c>
      <c r="J140" s="19" t="str">
        <f>A130</f>
        <v>PUDDLE FLANGE MS PIPE</v>
      </c>
    </row>
    <row r="141" spans="1:10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28" t="s">
        <v>31</v>
      </c>
    </row>
    <row r="144" spans="1:10" ht="15.75" x14ac:dyDescent="0.25">
      <c r="A144" s="152" t="s">
        <v>98</v>
      </c>
      <c r="B144" s="115"/>
      <c r="C144" s="115"/>
      <c r="D144" s="115"/>
      <c r="E144" s="115"/>
      <c r="F144" s="115"/>
      <c r="G144" s="115"/>
      <c r="H144" s="116"/>
      <c r="I144" s="9"/>
      <c r="J144" s="9"/>
    </row>
    <row r="145" spans="1:10" x14ac:dyDescent="0.25">
      <c r="A145" s="1" t="s">
        <v>1</v>
      </c>
      <c r="B145" s="1"/>
      <c r="C145" s="1" t="s">
        <v>2</v>
      </c>
      <c r="D145" s="1" t="s">
        <v>3</v>
      </c>
      <c r="E145" s="1" t="s">
        <v>4</v>
      </c>
      <c r="F145" s="1" t="s">
        <v>13</v>
      </c>
      <c r="G145" s="1" t="s">
        <v>5</v>
      </c>
      <c r="H145" s="1" t="s">
        <v>6</v>
      </c>
      <c r="I145" s="9"/>
      <c r="J145" s="9"/>
    </row>
    <row r="146" spans="1:10" x14ac:dyDescent="0.25">
      <c r="A146" s="1"/>
      <c r="B146" s="44" t="s">
        <v>125</v>
      </c>
      <c r="C146" s="1"/>
      <c r="D146" s="1"/>
      <c r="E146" s="1" t="s">
        <v>7</v>
      </c>
      <c r="F146" s="1" t="s">
        <v>7</v>
      </c>
      <c r="G146" s="1" t="s">
        <v>7</v>
      </c>
      <c r="H146" s="1" t="s">
        <v>29</v>
      </c>
      <c r="I146" s="9"/>
      <c r="J146" s="9"/>
    </row>
    <row r="147" spans="1:10" x14ac:dyDescent="0.25">
      <c r="A147" s="131">
        <v>1</v>
      </c>
      <c r="B147" s="44" t="s">
        <v>125</v>
      </c>
      <c r="C147" s="133" t="s">
        <v>98</v>
      </c>
      <c r="D147" s="135">
        <f>1</f>
        <v>1</v>
      </c>
      <c r="E147" s="145">
        <v>0.5</v>
      </c>
      <c r="F147" s="131">
        <v>0.5</v>
      </c>
      <c r="G147" s="131">
        <v>6.0000000000000001E-3</v>
      </c>
      <c r="H147" s="132">
        <f>D147*E147*F147*G147*7850</f>
        <v>11.775</v>
      </c>
      <c r="I147" s="9"/>
      <c r="J147" s="9"/>
    </row>
    <row r="148" spans="1:10" x14ac:dyDescent="0.25">
      <c r="A148" s="131">
        <v>2</v>
      </c>
      <c r="B148" s="44" t="s">
        <v>125</v>
      </c>
      <c r="C148" s="133" t="s">
        <v>98</v>
      </c>
      <c r="D148" s="135">
        <f>1</f>
        <v>1</v>
      </c>
      <c r="E148" s="145">
        <v>0.5</v>
      </c>
      <c r="F148" s="131">
        <v>0.5</v>
      </c>
      <c r="G148" s="131">
        <v>6.0000000000000001E-3</v>
      </c>
      <c r="H148" s="132">
        <f t="shared" ref="H148:H152" si="6">D148*E148*F148*G148*7850</f>
        <v>11.775</v>
      </c>
      <c r="I148" s="9"/>
      <c r="J148" s="9"/>
    </row>
    <row r="149" spans="1:10" x14ac:dyDescent="0.25">
      <c r="A149" s="131">
        <v>3</v>
      </c>
      <c r="B149" s="44" t="s">
        <v>125</v>
      </c>
      <c r="C149" s="133" t="s">
        <v>98</v>
      </c>
      <c r="D149" s="135">
        <f>3</f>
        <v>3</v>
      </c>
      <c r="E149" s="145">
        <v>0.5</v>
      </c>
      <c r="F149" s="131">
        <v>0.5</v>
      </c>
      <c r="G149" s="131">
        <v>6.0000000000000001E-3</v>
      </c>
      <c r="H149" s="132">
        <f t="shared" si="6"/>
        <v>35.325000000000003</v>
      </c>
      <c r="I149" s="9"/>
      <c r="J149" s="9"/>
    </row>
    <row r="150" spans="1:10" x14ac:dyDescent="0.25">
      <c r="A150" s="131">
        <v>4</v>
      </c>
      <c r="B150" s="44" t="s">
        <v>125</v>
      </c>
      <c r="C150" s="133" t="s">
        <v>98</v>
      </c>
      <c r="D150" s="135">
        <f>1</f>
        <v>1</v>
      </c>
      <c r="E150" s="145">
        <v>0.5</v>
      </c>
      <c r="F150" s="131">
        <v>0.5</v>
      </c>
      <c r="G150" s="131">
        <v>6.0000000000000001E-3</v>
      </c>
      <c r="H150" s="132">
        <f t="shared" si="6"/>
        <v>11.775</v>
      </c>
      <c r="I150" s="9"/>
      <c r="J150" s="9"/>
    </row>
    <row r="151" spans="1:10" x14ac:dyDescent="0.25">
      <c r="A151" s="131">
        <v>5</v>
      </c>
      <c r="B151" s="44" t="s">
        <v>125</v>
      </c>
      <c r="C151" s="133" t="s">
        <v>98</v>
      </c>
      <c r="D151" s="131">
        <f>2</f>
        <v>2</v>
      </c>
      <c r="E151" s="145">
        <v>0.5</v>
      </c>
      <c r="F151" s="131">
        <v>0.5</v>
      </c>
      <c r="G151" s="131">
        <v>6.0000000000000001E-3</v>
      </c>
      <c r="H151" s="132">
        <f t="shared" si="6"/>
        <v>23.55</v>
      </c>
      <c r="I151" s="9"/>
      <c r="J151" s="9"/>
    </row>
    <row r="152" spans="1:10" x14ac:dyDescent="0.25">
      <c r="A152" s="131">
        <v>6</v>
      </c>
      <c r="B152" s="44" t="s">
        <v>125</v>
      </c>
      <c r="C152" s="133" t="s">
        <v>98</v>
      </c>
      <c r="D152" s="135">
        <f>1</f>
        <v>1</v>
      </c>
      <c r="E152" s="145">
        <v>0.5</v>
      </c>
      <c r="F152" s="131">
        <v>0.5</v>
      </c>
      <c r="G152" s="131">
        <v>6.0000000000000001E-3</v>
      </c>
      <c r="H152" s="132">
        <f t="shared" si="6"/>
        <v>11.775</v>
      </c>
      <c r="I152" s="9"/>
      <c r="J152" s="9"/>
    </row>
    <row r="153" spans="1:10" x14ac:dyDescent="0.25">
      <c r="A153" s="33"/>
      <c r="B153" s="33"/>
      <c r="C153" s="46"/>
      <c r="D153" s="29"/>
      <c r="E153" s="59"/>
      <c r="F153" s="33"/>
      <c r="G153" s="33"/>
      <c r="H153" s="48"/>
      <c r="I153" s="9"/>
      <c r="J153" s="9"/>
    </row>
    <row r="154" spans="1:10" x14ac:dyDescent="0.25">
      <c r="A154" s="1"/>
      <c r="B154" s="1"/>
      <c r="C154" s="4"/>
      <c r="D154" s="4"/>
      <c r="E154" s="1"/>
      <c r="F154" s="1"/>
      <c r="G154" s="1"/>
      <c r="H154" s="25"/>
      <c r="I154" s="142">
        <f>SUM(H147:H153)*1.1</f>
        <v>116.57250000000002</v>
      </c>
      <c r="J154" s="19" t="str">
        <f>A144</f>
        <v>PUDDLE FLANGE MS PLATE</v>
      </c>
    </row>
    <row r="155" spans="1:10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28" t="s">
        <v>31</v>
      </c>
    </row>
    <row r="157" spans="1:10" ht="15.75" x14ac:dyDescent="0.25">
      <c r="A157" s="114" t="s">
        <v>126</v>
      </c>
      <c r="B157" s="115"/>
      <c r="C157" s="115"/>
      <c r="D157" s="115"/>
      <c r="E157" s="115"/>
      <c r="F157" s="115"/>
      <c r="G157" s="115"/>
      <c r="H157" s="116"/>
      <c r="I157" s="9"/>
      <c r="J157" s="9"/>
    </row>
    <row r="158" spans="1:10" x14ac:dyDescent="0.25">
      <c r="A158" s="1" t="s">
        <v>1</v>
      </c>
      <c r="B158" s="1"/>
      <c r="C158" s="1" t="s">
        <v>2</v>
      </c>
      <c r="D158" s="1" t="s">
        <v>3</v>
      </c>
      <c r="E158" s="1" t="s">
        <v>4</v>
      </c>
      <c r="F158" s="1" t="s">
        <v>13</v>
      </c>
      <c r="G158" s="1" t="s">
        <v>5</v>
      </c>
      <c r="H158" s="1" t="s">
        <v>6</v>
      </c>
      <c r="I158" s="9"/>
      <c r="J158" s="9"/>
    </row>
    <row r="159" spans="1:10" x14ac:dyDescent="0.25">
      <c r="A159" s="1"/>
      <c r="B159" s="136" t="s">
        <v>126</v>
      </c>
      <c r="C159" s="1"/>
      <c r="D159" s="1"/>
      <c r="E159" s="1" t="s">
        <v>7</v>
      </c>
      <c r="F159" s="1" t="s">
        <v>7</v>
      </c>
      <c r="G159" s="1" t="s">
        <v>7</v>
      </c>
      <c r="H159" s="1" t="s">
        <v>8</v>
      </c>
      <c r="I159" s="9"/>
      <c r="J159" s="9"/>
    </row>
    <row r="160" spans="1:10" x14ac:dyDescent="0.25">
      <c r="A160" s="131">
        <v>1</v>
      </c>
      <c r="B160" s="136" t="s">
        <v>126</v>
      </c>
      <c r="C160" s="133" t="s">
        <v>127</v>
      </c>
      <c r="D160" s="135">
        <v>1</v>
      </c>
      <c r="E160" s="154">
        <f>2*(15.36+5.83)</f>
        <v>42.379999999999995</v>
      </c>
      <c r="F160" s="155">
        <v>0.02</v>
      </c>
      <c r="G160" s="131">
        <v>1.55</v>
      </c>
      <c r="H160" s="143">
        <f>D160*E160*F160*G160</f>
        <v>1.3137799999999999</v>
      </c>
      <c r="I160" s="9"/>
      <c r="J160" s="9"/>
    </row>
    <row r="161" spans="1:10" x14ac:dyDescent="0.25">
      <c r="A161" s="131">
        <v>2</v>
      </c>
      <c r="B161" s="136" t="s">
        <v>126</v>
      </c>
      <c r="C161" s="133" t="s">
        <v>128</v>
      </c>
      <c r="D161" s="131">
        <v>40</v>
      </c>
      <c r="E161" s="154">
        <f>2*(0.3+0.3)</f>
        <v>1.2</v>
      </c>
      <c r="F161" s="155">
        <v>0.02</v>
      </c>
      <c r="G161" s="131">
        <v>1.55</v>
      </c>
      <c r="H161" s="143">
        <f>D161*E161*F161*G161</f>
        <v>1.488</v>
      </c>
      <c r="I161" s="9"/>
      <c r="J161" s="9"/>
    </row>
    <row r="162" spans="1:10" x14ac:dyDescent="0.25">
      <c r="A162" s="131">
        <v>3</v>
      </c>
      <c r="B162" s="136" t="s">
        <v>126</v>
      </c>
      <c r="C162" s="133" t="s">
        <v>129</v>
      </c>
      <c r="D162" s="131">
        <v>22</v>
      </c>
      <c r="E162" s="154">
        <f>0.3</f>
        <v>0.3</v>
      </c>
      <c r="F162" s="155">
        <v>0.02</v>
      </c>
      <c r="G162" s="131">
        <v>1.55</v>
      </c>
      <c r="H162" s="143">
        <f>D162*E162*F162*G162*-1</f>
        <v>-0.2046</v>
      </c>
      <c r="I162" s="9"/>
      <c r="J162" s="9"/>
    </row>
    <row r="163" spans="1:10" x14ac:dyDescent="0.25">
      <c r="A163" s="69"/>
      <c r="B163" s="69"/>
      <c r="C163" s="70"/>
      <c r="D163" s="69"/>
      <c r="E163" s="69"/>
      <c r="F163" s="69"/>
      <c r="G163" s="69"/>
      <c r="H163" s="83"/>
      <c r="I163" s="139">
        <f>SUM(H160:H163)*1.1</f>
        <v>2.8568980000000002</v>
      </c>
      <c r="J163" s="53" t="str">
        <f>A157</f>
        <v>WATER PROOF PLASTER</v>
      </c>
    </row>
  </sheetData>
  <mergeCells count="9">
    <mergeCell ref="A1:H1"/>
    <mergeCell ref="A2:H2"/>
    <mergeCell ref="A3:H3"/>
    <mergeCell ref="E92:F92"/>
    <mergeCell ref="L43:N43"/>
    <mergeCell ref="C6:E6"/>
    <mergeCell ref="E83:F83"/>
    <mergeCell ref="E91:F91"/>
    <mergeCell ref="E93:F9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I40"/>
  <sheetViews>
    <sheetView tabSelected="1" zoomScale="70" zoomScaleNormal="70" workbookViewId="0">
      <selection activeCell="G11" sqref="G11"/>
    </sheetView>
  </sheetViews>
  <sheetFormatPr defaultRowHeight="15" x14ac:dyDescent="0.25"/>
  <cols>
    <col min="3" max="3" width="56" customWidth="1"/>
    <col min="4" max="4" width="16.85546875" customWidth="1"/>
    <col min="5" max="5" width="18.28515625" customWidth="1"/>
    <col min="9" max="9" width="11" bestFit="1" customWidth="1"/>
  </cols>
  <sheetData>
    <row r="2" spans="3:9" x14ac:dyDescent="0.25">
      <c r="D2" s="126" t="s">
        <v>90</v>
      </c>
    </row>
    <row r="3" spans="3:9" x14ac:dyDescent="0.25">
      <c r="C3" s="127" t="s">
        <v>91</v>
      </c>
      <c r="D3" s="126" t="s">
        <v>92</v>
      </c>
    </row>
    <row r="4" spans="3:9" x14ac:dyDescent="0.25">
      <c r="C4" s="127" t="s">
        <v>91</v>
      </c>
      <c r="D4" s="126" t="s">
        <v>93</v>
      </c>
    </row>
    <row r="6" spans="3:9" x14ac:dyDescent="0.25">
      <c r="C6" s="168" t="s">
        <v>56</v>
      </c>
      <c r="D6" s="168"/>
      <c r="E6" s="168"/>
      <c r="I6" s="128" t="s">
        <v>138</v>
      </c>
    </row>
    <row r="7" spans="3:9" x14ac:dyDescent="0.25">
      <c r="C7" s="33" t="s">
        <v>0</v>
      </c>
      <c r="D7" s="55">
        <f ca="1">SUMPRODUCT((SUMIF(INDIRECT("'"&amp;$I$7:$I$10&amp;"'!"&amp;"C7:C33"),C7,INDIRECT("'"&amp;$I$7:$I$10&amp;"'!"&amp;"D7:D33"))))</f>
        <v>581.56086312499997</v>
      </c>
      <c r="E7" s="1" t="s">
        <v>20</v>
      </c>
      <c r="I7">
        <v>1</v>
      </c>
    </row>
    <row r="8" spans="3:9" x14ac:dyDescent="0.25">
      <c r="C8" s="33" t="s">
        <v>88</v>
      </c>
      <c r="D8" s="55">
        <f t="shared" ref="D8:D12" ca="1" si="0">SUMPRODUCT((SUMIF(INDIRECT("'"&amp;$I$7:$I$10&amp;"'!"&amp;"C7:C33"),C8,INDIRECT("'"&amp;$I$7:$I$10&amp;"'!"&amp;"D7:D33"))))</f>
        <v>0</v>
      </c>
      <c r="E8" s="1" t="s">
        <v>26</v>
      </c>
      <c r="I8">
        <v>2</v>
      </c>
    </row>
    <row r="9" spans="3:9" x14ac:dyDescent="0.25">
      <c r="C9" s="33" t="s">
        <v>37</v>
      </c>
      <c r="D9" s="55">
        <f t="shared" ca="1" si="0"/>
        <v>60.228755125000006</v>
      </c>
      <c r="E9" s="1" t="s">
        <v>20</v>
      </c>
      <c r="I9">
        <v>3</v>
      </c>
    </row>
    <row r="10" spans="3:9" x14ac:dyDescent="0.25">
      <c r="C10" s="33" t="s">
        <v>80</v>
      </c>
      <c r="D10" s="55">
        <f t="shared" ca="1" si="0"/>
        <v>0</v>
      </c>
      <c r="E10" s="1" t="s">
        <v>20</v>
      </c>
      <c r="I10">
        <v>4</v>
      </c>
    </row>
    <row r="11" spans="3:9" x14ac:dyDescent="0.25">
      <c r="C11" s="33" t="s">
        <v>94</v>
      </c>
      <c r="D11" s="55">
        <f t="shared" ca="1" si="0"/>
        <v>136.82624999999999</v>
      </c>
      <c r="E11" s="1" t="s">
        <v>20</v>
      </c>
    </row>
    <row r="12" spans="3:9" x14ac:dyDescent="0.25">
      <c r="C12" s="33" t="s">
        <v>131</v>
      </c>
      <c r="D12" s="55">
        <f t="shared" ca="1" si="0"/>
        <v>57.043700999999999</v>
      </c>
      <c r="E12" s="1" t="s">
        <v>20</v>
      </c>
    </row>
    <row r="13" spans="3:9" x14ac:dyDescent="0.25">
      <c r="C13" s="113" t="s">
        <v>32</v>
      </c>
      <c r="D13" s="51"/>
      <c r="E13" s="1"/>
    </row>
    <row r="14" spans="3:9" x14ac:dyDescent="0.25">
      <c r="C14" s="33" t="s">
        <v>38</v>
      </c>
      <c r="D14" s="55">
        <f t="shared" ref="D14:D40" ca="1" si="1">SUMPRODUCT((SUMIF(INDIRECT("'"&amp;$I$7:$I$10&amp;"'!"&amp;"C7:C33"),C14,INDIRECT("'"&amp;$I$7:$I$10&amp;"'!"&amp;"D7:D33"))))</f>
        <v>203.47863304999998</v>
      </c>
      <c r="E14" s="1" t="s">
        <v>20</v>
      </c>
    </row>
    <row r="15" spans="3:9" x14ac:dyDescent="0.25">
      <c r="C15" s="33" t="s">
        <v>130</v>
      </c>
      <c r="D15" s="55">
        <f t="shared" ca="1" si="1"/>
        <v>136.82624999999999</v>
      </c>
      <c r="E15" s="1" t="s">
        <v>20</v>
      </c>
    </row>
    <row r="16" spans="3:9" x14ac:dyDescent="0.25">
      <c r="C16" s="33" t="s">
        <v>21</v>
      </c>
      <c r="D16" s="55">
        <f t="shared" ca="1" si="1"/>
        <v>420.33816000000002</v>
      </c>
      <c r="E16" s="1" t="s">
        <v>26</v>
      </c>
    </row>
    <row r="17" spans="3:5" x14ac:dyDescent="0.25">
      <c r="C17" s="33" t="s">
        <v>81</v>
      </c>
      <c r="D17" s="55">
        <f t="shared" ca="1" si="1"/>
        <v>0</v>
      </c>
      <c r="E17" s="1" t="s">
        <v>26</v>
      </c>
    </row>
    <row r="18" spans="3:5" x14ac:dyDescent="0.25">
      <c r="C18" s="33" t="s">
        <v>82</v>
      </c>
      <c r="D18" s="55">
        <f t="shared" ca="1" si="1"/>
        <v>0</v>
      </c>
      <c r="E18" s="1" t="s">
        <v>26</v>
      </c>
    </row>
    <row r="19" spans="3:5" x14ac:dyDescent="0.25">
      <c r="C19" s="29" t="s">
        <v>12</v>
      </c>
      <c r="D19" s="55">
        <f t="shared" ca="1" si="1"/>
        <v>33.6708152605</v>
      </c>
      <c r="E19" s="12" t="s">
        <v>25</v>
      </c>
    </row>
    <row r="20" spans="3:5" x14ac:dyDescent="0.25">
      <c r="C20" s="33" t="s">
        <v>41</v>
      </c>
      <c r="D20" s="55">
        <f t="shared" ca="1" si="1"/>
        <v>11.66382327</v>
      </c>
      <c r="E20" s="1" t="s">
        <v>20</v>
      </c>
    </row>
    <row r="21" spans="3:5" x14ac:dyDescent="0.25">
      <c r="C21" s="33" t="s">
        <v>79</v>
      </c>
      <c r="D21" s="55">
        <f t="shared" ca="1" si="1"/>
        <v>0</v>
      </c>
      <c r="E21" s="1" t="s">
        <v>20</v>
      </c>
    </row>
    <row r="22" spans="3:5" x14ac:dyDescent="0.25">
      <c r="C22" s="33" t="s">
        <v>77</v>
      </c>
      <c r="D22" s="55">
        <f t="shared" ca="1" si="1"/>
        <v>0</v>
      </c>
      <c r="E22" s="1" t="s">
        <v>20</v>
      </c>
    </row>
    <row r="23" spans="3:5" x14ac:dyDescent="0.25">
      <c r="C23" s="33" t="s">
        <v>84</v>
      </c>
      <c r="D23" s="55">
        <f t="shared" ca="1" si="1"/>
        <v>0</v>
      </c>
      <c r="E23" s="1" t="s">
        <v>26</v>
      </c>
    </row>
    <row r="24" spans="3:5" x14ac:dyDescent="0.25">
      <c r="C24" s="33" t="s">
        <v>83</v>
      </c>
      <c r="D24" s="55">
        <f t="shared" ca="1" si="1"/>
        <v>0</v>
      </c>
      <c r="E24" s="1" t="s">
        <v>73</v>
      </c>
    </row>
    <row r="25" spans="3:5" x14ac:dyDescent="0.25">
      <c r="C25" s="33" t="s">
        <v>85</v>
      </c>
      <c r="D25" s="55">
        <f t="shared" ca="1" si="1"/>
        <v>0</v>
      </c>
      <c r="E25" s="1" t="s">
        <v>20</v>
      </c>
    </row>
    <row r="26" spans="3:5" x14ac:dyDescent="0.25">
      <c r="C26" s="33" t="s">
        <v>86</v>
      </c>
      <c r="D26" s="55">
        <f t="shared" ca="1" si="1"/>
        <v>0</v>
      </c>
      <c r="E26" s="1" t="s">
        <v>73</v>
      </c>
    </row>
    <row r="27" spans="3:5" x14ac:dyDescent="0.25">
      <c r="C27" s="33" t="s">
        <v>35</v>
      </c>
      <c r="D27" s="55">
        <f t="shared" ca="1" si="1"/>
        <v>564.96</v>
      </c>
      <c r="E27" s="1" t="s">
        <v>87</v>
      </c>
    </row>
    <row r="28" spans="3:5" x14ac:dyDescent="0.25">
      <c r="C28" s="33" t="s">
        <v>126</v>
      </c>
      <c r="D28" s="55">
        <f t="shared" ca="1" si="1"/>
        <v>2.8568980000000002</v>
      </c>
      <c r="E28" s="1" t="s">
        <v>20</v>
      </c>
    </row>
    <row r="29" spans="3:5" x14ac:dyDescent="0.25">
      <c r="C29" s="33" t="s">
        <v>72</v>
      </c>
      <c r="D29" s="55">
        <f t="shared" ca="1" si="1"/>
        <v>0</v>
      </c>
      <c r="E29" s="1" t="s">
        <v>73</v>
      </c>
    </row>
    <row r="30" spans="3:5" x14ac:dyDescent="0.25">
      <c r="C30" s="33" t="s">
        <v>95</v>
      </c>
      <c r="D30" s="55">
        <f t="shared" ca="1" si="1"/>
        <v>50.16</v>
      </c>
      <c r="E30" s="1" t="s">
        <v>73</v>
      </c>
    </row>
    <row r="31" spans="3:5" x14ac:dyDescent="0.25">
      <c r="C31" s="29" t="s">
        <v>99</v>
      </c>
      <c r="D31" s="55">
        <f t="shared" ca="1" si="1"/>
        <v>48.378000000000007</v>
      </c>
      <c r="E31" s="1" t="s">
        <v>73</v>
      </c>
    </row>
    <row r="32" spans="3:5" x14ac:dyDescent="0.25">
      <c r="C32" s="33" t="s">
        <v>53</v>
      </c>
      <c r="D32" s="55">
        <f t="shared" ca="1" si="1"/>
        <v>0</v>
      </c>
      <c r="E32" s="1" t="s">
        <v>87</v>
      </c>
    </row>
    <row r="33" spans="3:5" x14ac:dyDescent="0.25">
      <c r="C33" s="33" t="s">
        <v>97</v>
      </c>
      <c r="D33" s="55">
        <f t="shared" ca="1" si="1"/>
        <v>94.004064000000028</v>
      </c>
      <c r="E33" s="1" t="s">
        <v>87</v>
      </c>
    </row>
    <row r="34" spans="3:5" x14ac:dyDescent="0.25">
      <c r="C34" s="29" t="s">
        <v>132</v>
      </c>
      <c r="D34" s="55">
        <f t="shared" ca="1" si="1"/>
        <v>0.88000000000000012</v>
      </c>
      <c r="E34" s="1" t="s">
        <v>73</v>
      </c>
    </row>
    <row r="35" spans="3:5" x14ac:dyDescent="0.25">
      <c r="C35" s="29" t="s">
        <v>133</v>
      </c>
      <c r="D35" s="55">
        <f t="shared" ca="1" si="1"/>
        <v>0.88000000000000012</v>
      </c>
      <c r="E35" s="1" t="s">
        <v>73</v>
      </c>
    </row>
    <row r="36" spans="3:5" x14ac:dyDescent="0.25">
      <c r="C36" s="29" t="s">
        <v>134</v>
      </c>
      <c r="D36" s="55">
        <f t="shared" ca="1" si="1"/>
        <v>2.6400000000000006</v>
      </c>
      <c r="E36" s="1" t="s">
        <v>73</v>
      </c>
    </row>
    <row r="37" spans="3:5" x14ac:dyDescent="0.25">
      <c r="C37" s="29" t="s">
        <v>135</v>
      </c>
      <c r="D37" s="55">
        <f t="shared" ca="1" si="1"/>
        <v>0.88000000000000012</v>
      </c>
      <c r="E37" s="1" t="s">
        <v>73</v>
      </c>
    </row>
    <row r="38" spans="3:5" x14ac:dyDescent="0.25">
      <c r="C38" s="29" t="s">
        <v>136</v>
      </c>
      <c r="D38" s="55">
        <f t="shared" ca="1" si="1"/>
        <v>1.7600000000000002</v>
      </c>
      <c r="E38" s="1" t="s">
        <v>73</v>
      </c>
    </row>
    <row r="39" spans="3:5" x14ac:dyDescent="0.25">
      <c r="C39" s="29" t="s">
        <v>137</v>
      </c>
      <c r="D39" s="55">
        <f t="shared" ca="1" si="1"/>
        <v>0.88000000000000012</v>
      </c>
      <c r="E39" s="1" t="s">
        <v>73</v>
      </c>
    </row>
    <row r="40" spans="3:5" x14ac:dyDescent="0.25">
      <c r="C40" s="33" t="s">
        <v>125</v>
      </c>
      <c r="D40" s="55">
        <f t="shared" ca="1" si="1"/>
        <v>116.57250000000002</v>
      </c>
      <c r="E40" s="1" t="s">
        <v>87</v>
      </c>
    </row>
  </sheetData>
  <mergeCells count="1">
    <mergeCell ref="C6:E6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</vt:lpstr>
      <vt:lpstr>2</vt:lpstr>
      <vt:lpstr>3</vt:lpstr>
      <vt:lpstr>4</vt:lpstr>
      <vt:lpstr>SUM</vt:lpstr>
      <vt:lpstr>'1'!Print_Area</vt:lpstr>
    </vt:vector>
  </TitlesOfParts>
  <Company>zel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Mariam.Khatoon</dc:creator>
  <cp:lastModifiedBy>Windows User</cp:lastModifiedBy>
  <cp:lastPrinted>2021-12-30T05:12:58Z</cp:lastPrinted>
  <dcterms:created xsi:type="dcterms:W3CDTF">2012-11-21T11:21:32Z</dcterms:created>
  <dcterms:modified xsi:type="dcterms:W3CDTF">2022-03-22T07:42:31Z</dcterms:modified>
</cp:coreProperties>
</file>