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SUM" sheetId="5" state="visible" r:id="rId6"/>
  </sheets>
  <definedNames>
    <definedName function="false" hidden="false" localSheetId="0" name="_xlnm.Print_Area" vbProcedure="false">'1'!$A$1:$P$126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<sst xmlns="http://schemas.openxmlformats.org/spreadsheetml/2006/main" count="751" uniqueCount="147">
  <si>
    <t xml:space="preserve">BYCO PETROLEUM PAKISTAN LIMITED</t>
  </si>
  <si>
    <t xml:space="preserve">BOQ FOR PUMP FOUNDATION (UNIT-0300)</t>
  </si>
  <si>
    <t xml:space="preserve">DWG NO: 05-300-365-0017 REV. S-3 &amp; S-1 (DATED: 10-02-2021)</t>
  </si>
  <si>
    <t xml:space="preserve">PUMP FOUNDATION SUMMARY</t>
  </si>
  <si>
    <t xml:space="preserve">DESCRIPTION</t>
  </si>
  <si>
    <t xml:space="preserve">MTO QTY </t>
  </si>
  <si>
    <t xml:space="preserve">UNIT</t>
  </si>
  <si>
    <t xml:space="preserve">EXCAVATION</t>
  </si>
  <si>
    <t xml:space="preserve">CC 1 : 4 : 8</t>
  </si>
  <si>
    <t xml:space="preserve">RCC CONCRETE:</t>
  </si>
  <si>
    <t xml:space="preserve">RCC 3750 PSI</t>
  </si>
  <si>
    <t xml:space="preserve">BITUMEN COATING</t>
  </si>
  <si>
    <t xml:space="preserve">REINFORCEMENT</t>
  </si>
  <si>
    <t xml:space="preserve">CEMENTITIOUS GROUT G1</t>
  </si>
  <si>
    <t xml:space="preserve">ANCHOR BOLTS</t>
  </si>
  <si>
    <t xml:space="preserve">S.NO.</t>
  </si>
  <si>
    <t xml:space="preserve">NO.</t>
  </si>
  <si>
    <t xml:space="preserve">A</t>
  </si>
  <si>
    <t xml:space="preserve">B</t>
  </si>
  <si>
    <t xml:space="preserve">H</t>
  </si>
  <si>
    <t xml:space="preserve">QTY.</t>
  </si>
  <si>
    <t xml:space="preserve">(m)</t>
  </si>
  <si>
    <t xml:space="preserve">(cu-m)</t>
  </si>
  <si>
    <t xml:space="preserve">P-907A/B (HOR)</t>
  </si>
  <si>
    <t xml:space="preserve">Cu.m</t>
  </si>
  <si>
    <t xml:space="preserve">Sq.m</t>
  </si>
  <si>
    <t xml:space="preserve">ton</t>
  </si>
  <si>
    <t xml:space="preserve">KG</t>
  </si>
  <si>
    <t xml:space="preserve">Excavation</t>
  </si>
  <si>
    <t xml:space="preserve">L</t>
  </si>
  <si>
    <t xml:space="preserve">W</t>
  </si>
  <si>
    <t xml:space="preserve">(Sq-m)</t>
  </si>
  <si>
    <t xml:space="preserve">Bitumen</t>
  </si>
  <si>
    <t xml:space="preserve">Volume</t>
  </si>
  <si>
    <t xml:space="preserve">Weight </t>
  </si>
  <si>
    <t xml:space="preserve">Weight</t>
  </si>
  <si>
    <t xml:space="preserve">(cu. m)</t>
  </si>
  <si>
    <t xml:space="preserve">(kg/ cu. m)</t>
  </si>
  <si>
    <t xml:space="preserve">Kg</t>
  </si>
  <si>
    <t xml:space="preserve">Ton</t>
  </si>
  <si>
    <t xml:space="preserve">FOUNDATION UPTO TOG</t>
  </si>
  <si>
    <t xml:space="preserve">Total</t>
  </si>
  <si>
    <t xml:space="preserve">Steel</t>
  </si>
  <si>
    <t xml:space="preserve">Avg Kg/cu.m</t>
  </si>
  <si>
    <t xml:space="preserve">SURFACE PROTECTION COATING</t>
  </si>
  <si>
    <t xml:space="preserve">Coating</t>
  </si>
  <si>
    <t xml:space="preserve">GROUT IN SKID</t>
  </si>
  <si>
    <t xml:space="preserve">GROUT ON TOP</t>
  </si>
  <si>
    <t xml:space="preserve">Cem. Grout</t>
  </si>
  <si>
    <t xml:space="preserve">EPOXY GROUT G2</t>
  </si>
  <si>
    <t xml:space="preserve">Epoxy Grout</t>
  </si>
  <si>
    <t xml:space="preserve">BOLT</t>
  </si>
  <si>
    <t xml:space="preserve">NO OF BOLT</t>
  </si>
  <si>
    <t xml:space="preserve">WEIGHT</t>
  </si>
  <si>
    <t xml:space="preserve">(Dia)</t>
  </si>
  <si>
    <t xml:space="preserve">(Nos.)</t>
  </si>
  <si>
    <t xml:space="preserve">(Kg/Bolt)</t>
  </si>
  <si>
    <t xml:space="preserve">(kg)</t>
  </si>
  <si>
    <t xml:space="preserve">M25</t>
  </si>
  <si>
    <t xml:space="preserve">An. Bolts</t>
  </si>
  <si>
    <t xml:space="preserve">assumed</t>
  </si>
  <si>
    <t xml:space="preserve">BOQ FOR VESSEL FOUNDATION (UNIT-0300)</t>
  </si>
  <si>
    <t xml:space="preserve">DWG NO: 05-300-365-0026,27,43 &amp; 0045 REV. S-2 &amp; S-3 (DATED: 03&amp;04-05-2021)</t>
  </si>
  <si>
    <t xml:space="preserve">VESSEL FOUNDATION SUMMARY</t>
  </si>
  <si>
    <t xml:space="preserve">RCC 3000 PSI</t>
  </si>
  <si>
    <t xml:space="preserve">STONE SOLING</t>
  </si>
  <si>
    <t xml:space="preserve">ISOLATION JOINT</t>
  </si>
  <si>
    <t xml:space="preserve">LPG BULLET FLOORING</t>
  </si>
  <si>
    <t xml:space="preserve">s</t>
  </si>
  <si>
    <t xml:space="preserve">CC1:4:8</t>
  </si>
  <si>
    <t xml:space="preserve">FOOTING</t>
  </si>
  <si>
    <t xml:space="preserve">ISOTATION JOINT</t>
  </si>
  <si>
    <t xml:space="preserve">m</t>
  </si>
  <si>
    <t xml:space="preserve">BOQ FOR TOWER FOUNDATION (UNIT-0300)</t>
  </si>
  <si>
    <t xml:space="preserve">DWG NO: 05-300-365-0024 &amp; 46 REV. S-1 &amp; 3 (DATED: 03 &amp; 06-05-2021)</t>
  </si>
  <si>
    <t xml:space="preserve">TOWER FOUNDATION SUMMARY</t>
  </si>
  <si>
    <t xml:space="preserve">BASE PLATE DEADMAN</t>
  </si>
  <si>
    <t xml:space="preserve">F1</t>
  </si>
  <si>
    <t xml:space="preserve">F2</t>
  </si>
  <si>
    <t xml:space="preserve">BASE</t>
  </si>
  <si>
    <t xml:space="preserve">PEDESTAL</t>
  </si>
  <si>
    <t xml:space="preserve">F1 BASE SIDE</t>
  </si>
  <si>
    <t xml:space="preserve">F1 BASE TOP</t>
  </si>
  <si>
    <t xml:space="preserve">-</t>
  </si>
  <si>
    <t xml:space="preserve">PEDESTALS</t>
  </si>
  <si>
    <t xml:space="preserve">F2 BASE SIDE</t>
  </si>
  <si>
    <t xml:space="preserve">F2 BASE TOP</t>
  </si>
  <si>
    <t xml:space="preserve">f1 &amp; f2</t>
  </si>
  <si>
    <t xml:space="preserve">M 24</t>
  </si>
  <si>
    <t xml:space="preserve">THICK.</t>
  </si>
  <si>
    <t xml:space="preserve">(KG)</t>
  </si>
  <si>
    <t xml:space="preserve">BOQ FOR DRUM FOUNDATION (UNIT-0300)</t>
  </si>
  <si>
    <t xml:space="preserve">DWG NO: 05-300-365-0007,0008 &amp; 0009 REV. S-1,2,3 &amp; S-4 (DATED: 03&amp;04-05-2021)</t>
  </si>
  <si>
    <t xml:space="preserve">DRUM FOUNDATION SUMMARY</t>
  </si>
  <si>
    <t xml:space="preserve">SAND FILL</t>
  </si>
  <si>
    <t xml:space="preserve">PVC WATER STOPPER</t>
  </si>
  <si>
    <t xml:space="preserve">PUDDLE FLANGE MS PIPE 38</t>
  </si>
  <si>
    <t xml:space="preserve">PUDDLE FLANGE MS PIPE 50</t>
  </si>
  <si>
    <t xml:space="preserve">PUDDLE FLANGE MS PIPE 100</t>
  </si>
  <si>
    <t xml:space="preserve">PUDDLE FLANGE MS PIPE 150</t>
  </si>
  <si>
    <t xml:space="preserve">PUDDLE FLANGE MS PIPE 200</t>
  </si>
  <si>
    <t xml:space="preserve">PUDDLE FLANGE MS PIPE 250</t>
  </si>
  <si>
    <t xml:space="preserve">PUDDLE FLANGE MS PLATES</t>
  </si>
  <si>
    <t xml:space="preserve">WATER PROOF PLASTER</t>
  </si>
  <si>
    <t xml:space="preserve">COOLING TOWER</t>
  </si>
  <si>
    <t xml:space="preserve">TON</t>
  </si>
  <si>
    <t xml:space="preserve">OUTER WALL</t>
  </si>
  <si>
    <t xml:space="preserve">C1 &amp;C2</t>
  </si>
  <si>
    <t xml:space="preserve">DRUM (0306-42) BASE SIDE</t>
  </si>
  <si>
    <t xml:space="preserve">BASE TOP</t>
  </si>
  <si>
    <t xml:space="preserve">PEDESTAL TOP</t>
  </si>
  <si>
    <t xml:space="preserve">ANCHOR POCKET</t>
  </si>
  <si>
    <t xml:space="preserve">COOLING TOWER </t>
  </si>
  <si>
    <t xml:space="preserve">PUDDLE FLANGE MS PIPE</t>
  </si>
  <si>
    <t xml:space="preserve">LENGTH</t>
  </si>
  <si>
    <t xml:space="preserve">PUDDLE FLANGE MS PLATE</t>
  </si>
  <si>
    <t xml:space="preserve">COOLING TOWER  BASIN</t>
  </si>
  <si>
    <t xml:space="preserve">PADESTELS INSIDE BASIN</t>
  </si>
  <si>
    <t xml:space="preserve">PADESTELS SIDE DEDUCTION</t>
  </si>
  <si>
    <t xml:space="preserve">done</t>
  </si>
  <si>
    <t xml:space="preserve">SUMMARY</t>
  </si>
  <si>
    <t xml:space="preserve">Sheet list</t>
  </si>
  <si>
    <t xml:space="preserve">SUBGRADE PREPARATION</t>
  </si>
  <si>
    <t xml:space="preserve">PCC 1:2:4</t>
  </si>
  <si>
    <t xml:space="preserve">Possibly why SUMIF doesn’t work: These are diagonals</t>
  </si>
  <si>
    <t xml:space="preserve">across the multi-sheet (3D) selection</t>
  </si>
  <si>
    <t xml:space="preserve">1!C7</t>
  </si>
  <si>
    <t xml:space="preserve">1!D7</t>
  </si>
  <si>
    <t xml:space="preserve">TERMITE PROOFING OF RW FOUNDATION BOTH SIDES</t>
  </si>
  <si>
    <t xml:space="preserve">2!C8</t>
  </si>
  <si>
    <t xml:space="preserve">2!D8</t>
  </si>
  <si>
    <t xml:space="preserve">SURFACE PROTECTION COATING OUTSIDE</t>
  </si>
  <si>
    <t xml:space="preserve">3!C9</t>
  </si>
  <si>
    <t xml:space="preserve">3!D9</t>
  </si>
  <si>
    <t xml:space="preserve">4!C10</t>
  </si>
  <si>
    <t xml:space="preserve">4!D10</t>
  </si>
  <si>
    <t xml:space="preserve">WELL GRADED SAND FILL INSIDE RINGWALL</t>
  </si>
  <si>
    <t xml:space="preserve">Is this different in Excel? Please comment on thread if so.</t>
  </si>
  <si>
    <t xml:space="preserve">ASPHALT SAND LAYER</t>
  </si>
  <si>
    <t xml:space="preserve">GEOMEMBRANE</t>
  </si>
  <si>
    <t xml:space="preserve">ELOCK</t>
  </si>
  <si>
    <t xml:space="preserve">R.m</t>
  </si>
  <si>
    <t xml:space="preserve">GRAVEL</t>
  </si>
  <si>
    <t xml:space="preserve">2 IN. SLEEVE FOR LEAK DETECTION</t>
  </si>
  <si>
    <t xml:space="preserve">kg</t>
  </si>
  <si>
    <t xml:space="preserve">JOINT SEALANT</t>
  </si>
  <si>
    <t xml:space="preserve">EMBEDDED PLATE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</si>
</sst>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General"/>
    <numFmt numFmtId="167" formatCode="0.0"/>
    <numFmt numFmtId="168" formatCode="0.000"/>
    <numFmt numFmtId="169" formatCode="0"/>
    <numFmt numFmtId="170" formatCode="0.000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2"/>
      <charset val="1"/>
    </font>
    <font>
      <sz val="11"/>
      <name val="Calibri"/>
      <family val="2"/>
      <charset val="1"/>
    </font>
    <font>
      <b val="true"/>
      <u val="single"/>
      <sz val="16"/>
      <name val="Calibri"/>
      <family val="2"/>
      <charset val="1"/>
    </font>
    <font>
      <b val="true"/>
      <u val="single"/>
      <sz val="16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6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FF"/>
        <bgColor rgb="FFF6F9D4"/>
      </patternFill>
    </fill>
    <fill>
      <patternFill patternType="solid">
        <fgColor rgb="FFFFFF00"/>
        <bgColor rgb="FFFFFF00"/>
      </patternFill>
    </fill>
    <fill>
      <patternFill patternType="solid">
        <fgColor rgb="FF8EB4E3"/>
        <bgColor rgb="FF93CDDD"/>
      </patternFill>
    </fill>
    <fill>
      <patternFill patternType="solid">
        <fgColor rgb="FF93CDDD"/>
        <bgColor rgb="FF8EB4E3"/>
      </patternFill>
    </fill>
    <fill>
      <patternFill patternType="solid">
        <fgColor rgb="FFF6F9D4"/>
        <bgColor rgb="FFFFFFFF"/>
      </patternFill>
    </fill>
    <fill>
      <patternFill patternType="solid">
        <fgColor rgb="FFAFD095"/>
        <bgColor rgb="FF93CDDD"/>
      </patternFill>
    </fill>
    <fill>
      <patternFill patternType="solid">
        <fgColor rgb="FFFFE994"/>
        <bgColor rgb="FFFFCC99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666666"/>
      </left>
      <right/>
      <top style="thin">
        <color rgb="FF666666"/>
      </top>
      <bottom/>
      <diagonal/>
    </border>
    <border diagonalUp="false" diagonalDown="false">
      <left/>
      <right/>
      <top style="thin">
        <color rgb="FF666666"/>
      </top>
      <bottom/>
      <diagonal/>
    </border>
    <border diagonalUp="false" diagonalDown="false">
      <left/>
      <right style="thin">
        <color rgb="FF666666"/>
      </right>
      <top style="thin">
        <color rgb="FF666666"/>
      </top>
      <bottom/>
      <diagonal/>
    </border>
    <border diagonalUp="false" diagonalDown="false">
      <left style="thin">
        <color rgb="FF666666"/>
      </left>
      <right/>
      <top/>
      <bottom/>
      <diagonal/>
    </border>
    <border diagonalUp="false" diagonalDown="false">
      <left/>
      <right style="thin">
        <color rgb="FF666666"/>
      </right>
      <top/>
      <bottom/>
      <diagonal/>
    </border>
    <border diagonalUp="false" diagonalDown="false">
      <left style="thin">
        <color rgb="FF666666"/>
      </left>
      <right/>
      <top/>
      <bottom style="thin">
        <color rgb="FF666666"/>
      </bottom>
      <diagonal/>
    </border>
    <border diagonalUp="false" diagonalDown="false">
      <left/>
      <right/>
      <top/>
      <bottom style="thin">
        <color rgb="FF666666"/>
      </bottom>
      <diagonal/>
    </border>
    <border diagonalUp="false" diagonalDown="false">
      <left/>
      <right style="thin">
        <color rgb="FF666666"/>
      </right>
      <top/>
      <bottom style="thin">
        <color rgb="FF66666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6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5" fillId="6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0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5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5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5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0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6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6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5" fillId="6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9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8EB4E3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3CDDD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" activeCellId="0" sqref="I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19.57"/>
    <col collapsed="false" customWidth="true" hidden="false" outlineLevel="0" max="3" min="3" style="1" width="36.29"/>
    <col collapsed="false" customWidth="true" hidden="false" outlineLevel="0" max="4" min="4" style="1" width="10.85"/>
    <col collapsed="false" customWidth="true" hidden="false" outlineLevel="0" max="5" min="5" style="1" width="9.29"/>
    <col collapsed="false" customWidth="true" hidden="false" outlineLevel="0" max="6" min="6" style="1" width="11.99"/>
    <col collapsed="false" customWidth="true" hidden="false" outlineLevel="0" max="8" min="7" style="1" width="9.29"/>
    <col collapsed="false" customWidth="true" hidden="false" outlineLevel="0" max="9" min="9" style="1" width="7"/>
    <col collapsed="false" customWidth="true" hidden="false" outlineLevel="0" max="10" min="10" style="1" width="11.99"/>
    <col collapsed="false" customWidth="true" hidden="false" outlineLevel="0" max="11" min="11" style="1" width="0.86"/>
    <col collapsed="false" customWidth="true" hidden="false" outlineLevel="0" max="12" min="12" style="1" width="29.86"/>
    <col collapsed="false" customWidth="true" hidden="false" outlineLevel="0" max="13" min="13" style="1" width="9.42"/>
    <col collapsed="false" customWidth="true" hidden="false" outlineLevel="0" max="14" min="14" style="1" width="5.57"/>
    <col collapsed="false" customWidth="false" hidden="false" outlineLevel="0" max="1024" min="15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 t="n">
        <v>31</v>
      </c>
      <c r="J1" s="3"/>
      <c r="K1" s="4"/>
    </row>
    <row r="2" customFormat="false" ht="21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customFormat="false" ht="15" hidden="false" customHeight="true" outlineLevel="0" collapsed="false">
      <c r="A3" s="8" t="s">
        <v>2</v>
      </c>
      <c r="B3" s="8"/>
      <c r="C3" s="8"/>
      <c r="D3" s="8"/>
      <c r="E3" s="8"/>
      <c r="F3" s="8"/>
      <c r="G3" s="8"/>
      <c r="H3" s="8"/>
    </row>
    <row r="4" customFormat="false" ht="15" hidden="false" customHeight="true" outlineLevel="0" collapsed="false">
      <c r="A4" s="9"/>
      <c r="B4" s="9"/>
      <c r="C4" s="9"/>
      <c r="D4" s="9"/>
      <c r="E4" s="9"/>
      <c r="F4" s="9"/>
      <c r="G4" s="9"/>
      <c r="H4" s="9"/>
    </row>
    <row r="5" customFormat="false" ht="15" hidden="false" customHeight="true" outlineLevel="0" collapsed="false">
      <c r="A5" s="9"/>
      <c r="B5" s="9"/>
      <c r="C5" s="10" t="s">
        <v>3</v>
      </c>
      <c r="D5" s="10"/>
      <c r="E5" s="10"/>
      <c r="F5" s="9"/>
      <c r="G5" s="9"/>
      <c r="H5" s="9"/>
    </row>
    <row r="6" customFormat="false" ht="15" hidden="false" customHeight="true" outlineLevel="0" collapsed="false">
      <c r="A6" s="9"/>
      <c r="B6" s="9"/>
      <c r="C6" s="11" t="s">
        <v>4</v>
      </c>
      <c r="D6" s="12" t="s">
        <v>5</v>
      </c>
      <c r="E6" s="13" t="s">
        <v>6</v>
      </c>
      <c r="F6" s="9"/>
      <c r="G6" s="9"/>
      <c r="H6" s="9"/>
    </row>
    <row r="7" customFormat="false" ht="15" hidden="false" customHeight="true" outlineLevel="0" collapsed="false">
      <c r="A7" s="9"/>
      <c r="B7" s="9"/>
      <c r="C7" s="14" t="s">
        <v>7</v>
      </c>
      <c r="D7" s="15" t="n">
        <f aca="false">SUMIF($B$37:$B$116,C7,$H$37:$H$116)*1.1</f>
        <v>67.176734625</v>
      </c>
      <c r="E7" s="16" t="str">
        <f aca="false">INDEX($H$37:$H$116,MATCH(C7,$B$37:$B$116,0))</f>
        <v>(cu-m)</v>
      </c>
      <c r="F7" s="9"/>
      <c r="G7" s="9"/>
      <c r="H7" s="9"/>
    </row>
    <row r="8" customFormat="false" ht="15" hidden="false" customHeight="true" outlineLevel="0" collapsed="false">
      <c r="A8" s="9"/>
      <c r="B8" s="9"/>
      <c r="C8" s="14" t="s">
        <v>8</v>
      </c>
      <c r="D8" s="15" t="n">
        <f aca="false">SUMIF($B$37:$B$116,C8,$H$37:$H$116)*1.1</f>
        <v>5.167441125</v>
      </c>
      <c r="E8" s="16" t="str">
        <f aca="false">INDEX($H$37:$H$116,MATCH(C8,$B$37:$B$116,0))</f>
        <v>(cu-m)</v>
      </c>
      <c r="F8" s="9"/>
      <c r="G8" s="9"/>
      <c r="H8" s="9"/>
    </row>
    <row r="9" customFormat="false" ht="15" hidden="false" customHeight="true" outlineLevel="0" collapsed="false">
      <c r="A9" s="9"/>
      <c r="B9" s="9"/>
      <c r="C9" s="17" t="s">
        <v>9</v>
      </c>
      <c r="D9" s="18"/>
      <c r="E9" s="19"/>
      <c r="F9" s="9"/>
      <c r="G9" s="9"/>
      <c r="H9" s="9"/>
    </row>
    <row r="10" customFormat="false" ht="15" hidden="false" customHeight="true" outlineLevel="0" collapsed="false">
      <c r="A10" s="9"/>
      <c r="B10" s="9"/>
      <c r="C10" s="20" t="s">
        <v>10</v>
      </c>
      <c r="D10" s="15" t="n">
        <f aca="false">SUMIF($B$37:$B$116,C10,$H$37:$H$116)*1.1</f>
        <v>67.94397225</v>
      </c>
      <c r="E10" s="16" t="str">
        <f aca="false">INDEX($H$37:$H$116,MATCH(C10,$B$37:$B$116,0))</f>
        <v>(cu-m)</v>
      </c>
      <c r="F10" s="9"/>
      <c r="G10" s="9"/>
      <c r="H10" s="9"/>
    </row>
    <row r="11" customFormat="false" ht="15" hidden="false" customHeight="true" outlineLevel="0" collapsed="false">
      <c r="A11" s="9"/>
      <c r="B11" s="9"/>
      <c r="C11" s="20" t="s">
        <v>11</v>
      </c>
      <c r="D11" s="15" t="n">
        <f aca="false">SUMIF($B$37:$B$116,C11,$H$37:$H$116)*1.1</f>
        <v>138.908</v>
      </c>
      <c r="E11" s="16" t="str">
        <f aca="false">INDEX($H$37:$H$116,MATCH(C11,$B$37:$B$116,0))</f>
        <v>(Sq-m)</v>
      </c>
      <c r="F11" s="9"/>
      <c r="G11" s="9"/>
      <c r="H11" s="9"/>
    </row>
    <row r="12" customFormat="false" ht="15" hidden="false" customHeight="true" outlineLevel="0" collapsed="false">
      <c r="A12" s="9"/>
      <c r="B12" s="9"/>
      <c r="C12" s="21" t="s">
        <v>12</v>
      </c>
      <c r="D12" s="15" t="n">
        <f aca="false">SUMIF($B$37:$B$116,C12,$H$37:$H$116)*1.1</f>
        <v>7.4738369475</v>
      </c>
      <c r="E12" s="16" t="str">
        <f aca="false">INDEX($H$37:$H$116,MATCH(C12,$B$37:$B$116,0))</f>
        <v>Ton</v>
      </c>
      <c r="F12" s="9"/>
      <c r="G12" s="9"/>
      <c r="H12" s="9"/>
    </row>
    <row r="13" customFormat="false" ht="15" hidden="false" customHeight="true" outlineLevel="0" collapsed="false">
      <c r="A13" s="9"/>
      <c r="B13" s="9"/>
      <c r="C13" s="20"/>
      <c r="D13" s="15"/>
      <c r="E13" s="19"/>
      <c r="F13" s="9"/>
      <c r="G13" s="9"/>
      <c r="H13" s="9"/>
    </row>
    <row r="14" customFormat="false" ht="15" hidden="false" customHeight="true" outlineLevel="0" collapsed="false">
      <c r="A14" s="9"/>
      <c r="B14" s="9"/>
      <c r="C14" s="20" t="s">
        <v>13</v>
      </c>
      <c r="D14" s="15" t="n">
        <f aca="false">SUMIF($B$37:$B$116,C14,$H$37:$H$116)*1.1</f>
        <v>10.47296943</v>
      </c>
      <c r="E14" s="16" t="str">
        <f aca="false">INDEX($H$37:$H$116,MATCH(C14,$B$37:$B$116,0))</f>
        <v>(cu-m)</v>
      </c>
      <c r="F14" s="9"/>
      <c r="G14" s="9"/>
      <c r="H14" s="9"/>
    </row>
    <row r="15" customFormat="false" ht="15" hidden="false" customHeight="true" outlineLevel="0" collapsed="false">
      <c r="A15" s="9"/>
      <c r="B15" s="9"/>
      <c r="C15" s="20" t="s">
        <v>14</v>
      </c>
      <c r="D15" s="15" t="n">
        <f aca="false">SUMIF($B$37:$B$116,C15,$H$37:$H$116)*1.1</f>
        <v>462</v>
      </c>
      <c r="E15" s="16" t="str">
        <f aca="false">INDEX($H$37:$H$116,MATCH(C15,$B$37:$B$116,0))</f>
        <v>(kg)</v>
      </c>
      <c r="F15" s="9"/>
      <c r="G15" s="9"/>
      <c r="H15" s="9"/>
    </row>
    <row r="16" customFormat="false" ht="15" hidden="false" customHeight="true" outlineLevel="0" collapsed="false">
      <c r="A16" s="9"/>
      <c r="B16" s="9"/>
      <c r="C16" s="9"/>
      <c r="D16" s="9"/>
      <c r="E16" s="9"/>
      <c r="F16" s="9"/>
      <c r="G16" s="9"/>
      <c r="H16" s="9"/>
    </row>
    <row r="17" customFormat="false" ht="15" hidden="false" customHeight="true" outlineLevel="0" collapsed="false">
      <c r="A17" s="9"/>
      <c r="B17" s="9"/>
      <c r="C17" s="9"/>
      <c r="D17" s="9"/>
      <c r="E17" s="9"/>
      <c r="F17" s="9"/>
      <c r="G17" s="9"/>
      <c r="H17" s="9"/>
    </row>
    <row r="18" customFormat="false" ht="15" hidden="false" customHeight="true" outlineLevel="0" collapsed="false">
      <c r="A18" s="9"/>
      <c r="B18" s="9"/>
      <c r="C18" s="9"/>
      <c r="D18" s="9"/>
      <c r="E18" s="9"/>
      <c r="F18" s="9"/>
      <c r="G18" s="9"/>
      <c r="H18" s="9"/>
    </row>
    <row r="19" customFormat="false" ht="15" hidden="false" customHeight="true" outlineLevel="0" collapsed="false">
      <c r="A19" s="9"/>
      <c r="B19" s="9"/>
      <c r="C19" s="9"/>
      <c r="D19" s="9"/>
      <c r="E19" s="9"/>
      <c r="F19" s="9"/>
      <c r="G19" s="9"/>
      <c r="H19" s="9"/>
    </row>
    <row r="20" customFormat="false" ht="15" hidden="false" customHeight="true" outlineLevel="0" collapsed="false">
      <c r="A20" s="9"/>
      <c r="B20" s="9"/>
      <c r="C20" s="9"/>
      <c r="D20" s="9"/>
      <c r="E20" s="9"/>
      <c r="F20" s="9"/>
      <c r="G20" s="9"/>
      <c r="H20" s="9"/>
    </row>
    <row r="21" customFormat="false" ht="15" hidden="false" customHeight="true" outlineLevel="0" collapsed="false">
      <c r="A21" s="9"/>
      <c r="B21" s="9"/>
      <c r="C21" s="9"/>
      <c r="D21" s="9"/>
      <c r="E21" s="9"/>
      <c r="F21" s="9"/>
      <c r="G21" s="9"/>
      <c r="H21" s="9"/>
    </row>
    <row r="22" customFormat="false" ht="15" hidden="false" customHeight="true" outlineLevel="0" collapsed="false">
      <c r="A22" s="9"/>
      <c r="B22" s="9"/>
      <c r="C22" s="9"/>
      <c r="D22" s="9"/>
      <c r="E22" s="9"/>
      <c r="F22" s="9"/>
      <c r="G22" s="9"/>
      <c r="H22" s="9"/>
    </row>
    <row r="23" customFormat="false" ht="15" hidden="false" customHeight="true" outlineLevel="0" collapsed="false">
      <c r="A23" s="9"/>
      <c r="B23" s="9"/>
      <c r="C23" s="9"/>
      <c r="D23" s="9"/>
      <c r="E23" s="9"/>
      <c r="F23" s="9"/>
      <c r="G23" s="9"/>
      <c r="H23" s="9"/>
    </row>
    <row r="24" customFormat="false" ht="15" hidden="false" customHeight="true" outlineLevel="0" collapsed="false">
      <c r="A24" s="9"/>
      <c r="B24" s="9"/>
      <c r="C24" s="9"/>
      <c r="D24" s="9"/>
      <c r="E24" s="9"/>
      <c r="F24" s="9"/>
      <c r="G24" s="9"/>
      <c r="H24" s="9"/>
    </row>
    <row r="25" customFormat="false" ht="15" hidden="false" customHeight="true" outlineLevel="0" collapsed="false">
      <c r="A25" s="9"/>
      <c r="B25" s="9"/>
      <c r="C25" s="9"/>
      <c r="D25" s="9"/>
      <c r="E25" s="9"/>
      <c r="F25" s="9"/>
      <c r="G25" s="9"/>
      <c r="H25" s="9"/>
    </row>
    <row r="26" customFormat="false" ht="15" hidden="false" customHeight="true" outlineLevel="0" collapsed="false">
      <c r="A26" s="9"/>
      <c r="B26" s="9"/>
      <c r="C26" s="9"/>
      <c r="D26" s="9"/>
      <c r="E26" s="9"/>
      <c r="F26" s="9"/>
      <c r="G26" s="9"/>
      <c r="H26" s="9"/>
    </row>
    <row r="27" customFormat="false" ht="15" hidden="false" customHeight="true" outlineLevel="0" collapsed="false">
      <c r="A27" s="9"/>
      <c r="B27" s="9"/>
      <c r="C27" s="9"/>
      <c r="D27" s="9"/>
      <c r="E27" s="9"/>
      <c r="F27" s="9"/>
      <c r="G27" s="9"/>
      <c r="H27" s="9"/>
    </row>
    <row r="28" customFormat="false" ht="15" hidden="false" customHeight="true" outlineLevel="0" collapsed="false">
      <c r="A28" s="9"/>
      <c r="B28" s="9"/>
      <c r="C28" s="9"/>
      <c r="D28" s="9"/>
      <c r="E28" s="9"/>
      <c r="F28" s="9"/>
      <c r="G28" s="9"/>
      <c r="H28" s="9"/>
    </row>
    <row r="29" customFormat="false" ht="15" hidden="false" customHeight="true" outlineLevel="0" collapsed="false">
      <c r="A29" s="9"/>
      <c r="B29" s="9"/>
      <c r="C29" s="9"/>
      <c r="D29" s="9"/>
      <c r="E29" s="9"/>
      <c r="F29" s="9"/>
      <c r="G29" s="9"/>
      <c r="H29" s="9"/>
    </row>
    <row r="30" customFormat="false" ht="15" hidden="false" customHeight="true" outlineLevel="0" collapsed="false">
      <c r="A30" s="9"/>
      <c r="B30" s="9"/>
      <c r="C30" s="9"/>
      <c r="D30" s="9"/>
      <c r="E30" s="9"/>
      <c r="F30" s="9"/>
      <c r="G30" s="9"/>
      <c r="H30" s="9"/>
    </row>
    <row r="31" customFormat="false" ht="15" hidden="false" customHeight="true" outlineLevel="0" collapsed="false">
      <c r="A31" s="9"/>
      <c r="B31" s="9"/>
      <c r="C31" s="9"/>
      <c r="D31" s="9"/>
      <c r="E31" s="9"/>
      <c r="F31" s="9"/>
      <c r="G31" s="9"/>
      <c r="H31" s="9"/>
    </row>
    <row r="32" customFormat="false" ht="15" hidden="false" customHeight="true" outlineLevel="0" collapsed="false">
      <c r="A32" s="9"/>
      <c r="B32" s="9"/>
      <c r="C32" s="9"/>
      <c r="D32" s="9"/>
      <c r="E32" s="9"/>
      <c r="F32" s="9"/>
      <c r="G32" s="9"/>
      <c r="H32" s="9"/>
    </row>
    <row r="33" customFormat="false" ht="15" hidden="false" customHeight="true" outlineLevel="0" collapsed="false">
      <c r="A33" s="9"/>
      <c r="B33" s="9"/>
      <c r="C33" s="9"/>
      <c r="D33" s="9"/>
      <c r="E33" s="9"/>
      <c r="F33" s="9"/>
      <c r="G33" s="9"/>
      <c r="H33" s="9"/>
    </row>
    <row r="34" customFormat="false" ht="15" hidden="false" customHeight="true" outlineLevel="0" collapsed="false">
      <c r="A34" s="9"/>
      <c r="B34" s="9"/>
      <c r="C34" s="9"/>
      <c r="D34" s="9"/>
      <c r="E34" s="9"/>
      <c r="F34" s="9"/>
      <c r="G34" s="9"/>
      <c r="H34" s="9"/>
    </row>
    <row r="35" customFormat="false" ht="15" hidden="false" customHeight="true" outlineLevel="0" collapsed="false">
      <c r="A35" s="9"/>
      <c r="B35" s="9"/>
      <c r="C35" s="9"/>
      <c r="D35" s="9"/>
      <c r="E35" s="9"/>
      <c r="F35" s="9"/>
      <c r="G35" s="9"/>
      <c r="H35" s="9"/>
    </row>
    <row r="36" customFormat="false" ht="15" hidden="false" customHeight="true" outlineLevel="0" collapsed="false">
      <c r="A36" s="9"/>
      <c r="B36" s="9"/>
      <c r="C36" s="9"/>
      <c r="D36" s="9"/>
      <c r="E36" s="9"/>
      <c r="F36" s="9"/>
      <c r="G36" s="9"/>
      <c r="H36" s="9"/>
    </row>
    <row r="37" customFormat="false" ht="19.5" hidden="false" customHeight="true" outlineLevel="0" collapsed="false">
      <c r="A37" s="22" t="s">
        <v>7</v>
      </c>
      <c r="B37" s="23"/>
      <c r="C37" s="23"/>
      <c r="D37" s="23"/>
      <c r="E37" s="23"/>
      <c r="F37" s="23"/>
      <c r="G37" s="23"/>
      <c r="H37" s="24"/>
    </row>
    <row r="38" customFormat="false" ht="15.75" hidden="false" customHeight="false" outlineLevel="0" collapsed="false">
      <c r="A38" s="25" t="s">
        <v>15</v>
      </c>
      <c r="B38" s="26"/>
      <c r="C38" s="27" t="s">
        <v>4</v>
      </c>
      <c r="D38" s="27" t="s">
        <v>16</v>
      </c>
      <c r="E38" s="27" t="s">
        <v>17</v>
      </c>
      <c r="F38" s="27" t="s">
        <v>18</v>
      </c>
      <c r="G38" s="27" t="s">
        <v>19</v>
      </c>
      <c r="H38" s="28" t="s">
        <v>20</v>
      </c>
      <c r="L38" s="29" t="s">
        <v>3</v>
      </c>
      <c r="M38" s="29"/>
      <c r="N38" s="29"/>
    </row>
    <row r="39" customFormat="false" ht="15" hidden="false" customHeight="false" outlineLevel="0" collapsed="false">
      <c r="A39" s="16"/>
      <c r="B39" s="30" t="s">
        <v>7</v>
      </c>
      <c r="C39" s="31"/>
      <c r="D39" s="16"/>
      <c r="E39" s="16" t="s">
        <v>21</v>
      </c>
      <c r="F39" s="16" t="s">
        <v>21</v>
      </c>
      <c r="G39" s="16" t="s">
        <v>21</v>
      </c>
      <c r="H39" s="16" t="s">
        <v>22</v>
      </c>
      <c r="L39" s="29"/>
      <c r="M39" s="29"/>
      <c r="N39" s="29"/>
    </row>
    <row r="40" customFormat="false" ht="15.75" hidden="false" customHeight="false" outlineLevel="0" collapsed="false">
      <c r="A40" s="30" t="n">
        <v>1</v>
      </c>
      <c r="B40" s="30" t="s">
        <v>7</v>
      </c>
      <c r="C40" s="32" t="s">
        <v>23</v>
      </c>
      <c r="D40" s="30" t="n">
        <v>14</v>
      </c>
      <c r="E40" s="30" t="n">
        <f aca="false">2.655+0.15</f>
        <v>2.805</v>
      </c>
      <c r="F40" s="30" t="n">
        <f aca="false">1.445+0.15</f>
        <v>1.595</v>
      </c>
      <c r="G40" s="30" t="n">
        <f aca="false">0.9+0.075</f>
        <v>0.975</v>
      </c>
      <c r="H40" s="33" t="n">
        <f aca="false">D40*E40*F40*G40</f>
        <v>61.06975875</v>
      </c>
      <c r="I40" s="34"/>
      <c r="J40" s="35"/>
      <c r="L40" s="36" t="s">
        <v>4</v>
      </c>
      <c r="M40" s="37" t="s">
        <v>5</v>
      </c>
      <c r="N40" s="38" t="s">
        <v>6</v>
      </c>
    </row>
    <row r="41" customFormat="false" ht="15" hidden="false" customHeight="false" outlineLevel="0" collapsed="false">
      <c r="A41" s="20"/>
      <c r="B41" s="20"/>
      <c r="C41" s="39"/>
      <c r="D41" s="20"/>
      <c r="E41" s="21"/>
      <c r="F41" s="21"/>
      <c r="G41" s="20"/>
      <c r="H41" s="40"/>
      <c r="I41" s="34"/>
      <c r="J41" s="35"/>
      <c r="L41" s="14" t="str">
        <f aca="false">A37</f>
        <v>EXCAVATION</v>
      </c>
      <c r="M41" s="15" t="n">
        <f aca="false">I52</f>
        <v>67.176734625</v>
      </c>
      <c r="N41" s="16" t="s">
        <v>24</v>
      </c>
    </row>
    <row r="42" customFormat="false" ht="15" hidden="false" customHeight="false" outlineLevel="0" collapsed="false">
      <c r="A42" s="20"/>
      <c r="B42" s="20"/>
      <c r="C42" s="39"/>
      <c r="D42" s="20"/>
      <c r="E42" s="20"/>
      <c r="F42" s="20"/>
      <c r="G42" s="20"/>
      <c r="H42" s="40"/>
      <c r="I42" s="34"/>
      <c r="J42" s="35"/>
      <c r="L42" s="20" t="str">
        <f aca="false">A54</f>
        <v>CC 1 : 4 : 8</v>
      </c>
      <c r="M42" s="41" t="n">
        <f aca="false">I59</f>
        <v>5.167441125</v>
      </c>
      <c r="N42" s="19" t="s">
        <v>24</v>
      </c>
    </row>
    <row r="43" customFormat="false" ht="15" hidden="false" customHeight="false" outlineLevel="0" collapsed="false">
      <c r="A43" s="20"/>
      <c r="B43" s="20"/>
      <c r="C43" s="39"/>
      <c r="D43" s="20"/>
      <c r="E43" s="14"/>
      <c r="F43" s="14"/>
      <c r="G43" s="20"/>
      <c r="H43" s="40"/>
      <c r="L43" s="17" t="s">
        <v>9</v>
      </c>
      <c r="M43" s="18"/>
      <c r="N43" s="19"/>
    </row>
    <row r="44" customFormat="false" ht="15" hidden="false" customHeight="false" outlineLevel="0" collapsed="false">
      <c r="A44" s="20"/>
      <c r="B44" s="20"/>
      <c r="C44" s="39"/>
      <c r="D44" s="20"/>
      <c r="E44" s="42"/>
      <c r="F44" s="42"/>
      <c r="G44" s="20"/>
      <c r="H44" s="40"/>
      <c r="L44" s="20" t="str">
        <f aca="false">A61</f>
        <v>RCC 3750 PSI</v>
      </c>
      <c r="M44" s="41" t="n">
        <f aca="false">I67</f>
        <v>67.94397225</v>
      </c>
      <c r="N44" s="19" t="s">
        <v>24</v>
      </c>
    </row>
    <row r="45" customFormat="false" ht="15" hidden="false" customHeight="false" outlineLevel="0" collapsed="false">
      <c r="A45" s="20"/>
      <c r="B45" s="20"/>
      <c r="C45" s="39"/>
      <c r="D45" s="20"/>
      <c r="E45" s="20"/>
      <c r="F45" s="20"/>
      <c r="G45" s="14"/>
      <c r="H45" s="40"/>
      <c r="L45" s="20" t="str">
        <f aca="false">A69</f>
        <v>BITUMEN COATING</v>
      </c>
      <c r="M45" s="41" t="n">
        <f aca="false">I76</f>
        <v>138.908</v>
      </c>
      <c r="N45" s="19" t="s">
        <v>25</v>
      </c>
    </row>
    <row r="46" customFormat="false" ht="15" hidden="false" customHeight="false" outlineLevel="0" collapsed="false">
      <c r="A46" s="20"/>
      <c r="B46" s="20"/>
      <c r="C46" s="39"/>
      <c r="D46" s="20"/>
      <c r="E46" s="43"/>
      <c r="F46" s="43"/>
      <c r="G46" s="21"/>
      <c r="H46" s="40"/>
      <c r="L46" s="21" t="str">
        <f aca="false">A78</f>
        <v>REINFORCEMENT</v>
      </c>
      <c r="M46" s="44" t="n">
        <f aca="false">I84</f>
        <v>7.4738369475</v>
      </c>
      <c r="N46" s="45" t="s">
        <v>26</v>
      </c>
    </row>
    <row r="47" s="46" customFormat="true" ht="15" hidden="false" customHeight="false" outlineLevel="0" collapsed="false">
      <c r="A47" s="20"/>
      <c r="B47" s="20"/>
      <c r="C47" s="39"/>
      <c r="D47" s="20"/>
      <c r="E47" s="21"/>
      <c r="F47" s="21"/>
      <c r="G47" s="21"/>
      <c r="H47" s="40"/>
      <c r="J47" s="47"/>
      <c r="K47" s="47"/>
      <c r="L47" s="20" t="str">
        <f aca="false">A87</f>
        <v>SURFACE PROTECTION COATING</v>
      </c>
      <c r="M47" s="44" t="n">
        <f aca="false">I92</f>
        <v>0</v>
      </c>
      <c r="N47" s="19" t="s">
        <v>25</v>
      </c>
    </row>
    <row r="48" customFormat="false" ht="15" hidden="false" customHeight="false" outlineLevel="0" collapsed="false">
      <c r="A48" s="20"/>
      <c r="B48" s="20"/>
      <c r="C48" s="39"/>
      <c r="D48" s="20"/>
      <c r="E48" s="21"/>
      <c r="F48" s="21"/>
      <c r="G48" s="48"/>
      <c r="H48" s="40"/>
      <c r="L48" s="20" t="str">
        <f aca="false">A94</f>
        <v>CEMENTITIOUS GROUT G1</v>
      </c>
      <c r="M48" s="49" t="n">
        <f aca="false">I101</f>
        <v>10.47296943</v>
      </c>
      <c r="N48" s="19" t="s">
        <v>24</v>
      </c>
    </row>
    <row r="49" customFormat="false" ht="15" hidden="false" customHeight="false" outlineLevel="0" collapsed="false">
      <c r="A49" s="20"/>
      <c r="B49" s="20"/>
      <c r="C49" s="39"/>
      <c r="D49" s="20"/>
      <c r="E49" s="43"/>
      <c r="F49" s="43"/>
      <c r="G49" s="21"/>
      <c r="H49" s="40"/>
      <c r="L49" s="20" t="str">
        <f aca="false">A103</f>
        <v>EPOXY GROUT G2</v>
      </c>
      <c r="M49" s="49" t="n">
        <f aca="false">I108</f>
        <v>0</v>
      </c>
      <c r="N49" s="19" t="s">
        <v>24</v>
      </c>
    </row>
    <row r="50" customFormat="false" ht="15" hidden="false" customHeight="false" outlineLevel="0" collapsed="false">
      <c r="A50" s="20"/>
      <c r="B50" s="20"/>
      <c r="C50" s="39"/>
      <c r="D50" s="20"/>
      <c r="E50" s="43"/>
      <c r="F50" s="43"/>
      <c r="G50" s="20"/>
      <c r="H50" s="40"/>
      <c r="L50" s="20" t="str">
        <f aca="false">A110</f>
        <v>ANCHOR BOLTS</v>
      </c>
      <c r="M50" s="41" t="n">
        <f aca="false">I117</f>
        <v>462</v>
      </c>
      <c r="N50" s="19" t="s">
        <v>27</v>
      </c>
    </row>
    <row r="51" customFormat="false" ht="15" hidden="false" customHeight="false" outlineLevel="0" collapsed="false">
      <c r="A51" s="19"/>
      <c r="B51" s="19"/>
      <c r="C51" s="50"/>
      <c r="D51" s="19"/>
      <c r="E51" s="51"/>
      <c r="F51" s="51"/>
      <c r="G51" s="51"/>
      <c r="H51" s="52"/>
    </row>
    <row r="52" customFormat="false" ht="15" hidden="false" customHeight="false" outlineLevel="0" collapsed="false">
      <c r="A52" s="9"/>
      <c r="B52" s="9"/>
      <c r="C52" s="53"/>
      <c r="D52" s="9"/>
      <c r="E52" s="54"/>
      <c r="F52" s="54"/>
      <c r="G52" s="54"/>
      <c r="H52" s="55"/>
      <c r="I52" s="56" t="n">
        <f aca="false">SUM(H40:H51)*1.1</f>
        <v>67.176734625</v>
      </c>
      <c r="J52" s="57" t="s">
        <v>28</v>
      </c>
      <c r="K52" s="58"/>
      <c r="L52" s="9"/>
      <c r="M52" s="59"/>
      <c r="N52" s="9"/>
    </row>
    <row r="53" customFormat="false" ht="15" hidden="false" customHeight="false" outlineLevel="0" collapsed="false">
      <c r="A53" s="9"/>
      <c r="B53" s="9"/>
      <c r="C53" s="53"/>
      <c r="D53" s="9"/>
      <c r="E53" s="54"/>
      <c r="F53" s="54"/>
      <c r="G53" s="54"/>
      <c r="H53" s="55"/>
      <c r="I53" s="60"/>
      <c r="J53" s="58"/>
      <c r="K53" s="58"/>
      <c r="L53" s="9"/>
      <c r="M53" s="59"/>
      <c r="N53" s="9"/>
    </row>
    <row r="54" customFormat="false" ht="15.75" hidden="false" customHeight="false" outlineLevel="0" collapsed="false">
      <c r="A54" s="61" t="s">
        <v>8</v>
      </c>
      <c r="B54" s="62"/>
      <c r="C54" s="62"/>
      <c r="D54" s="62"/>
      <c r="E54" s="62"/>
      <c r="F54" s="62"/>
      <c r="G54" s="62"/>
      <c r="H54" s="63"/>
      <c r="L54" s="9"/>
      <c r="M54" s="59"/>
      <c r="N54" s="9"/>
    </row>
    <row r="55" customFormat="false" ht="15" hidden="false" customHeight="false" outlineLevel="0" collapsed="false">
      <c r="A55" s="19" t="s">
        <v>15</v>
      </c>
      <c r="B55" s="19"/>
      <c r="C55" s="19" t="s">
        <v>4</v>
      </c>
      <c r="D55" s="19" t="s">
        <v>16</v>
      </c>
      <c r="E55" s="19" t="s">
        <v>29</v>
      </c>
      <c r="F55" s="19" t="s">
        <v>30</v>
      </c>
      <c r="G55" s="19" t="s">
        <v>19</v>
      </c>
      <c r="H55" s="19" t="s">
        <v>20</v>
      </c>
      <c r="L55" s="9"/>
      <c r="M55" s="64"/>
      <c r="N55" s="9"/>
    </row>
    <row r="56" customFormat="false" ht="15" hidden="false" customHeight="false" outlineLevel="0" collapsed="false">
      <c r="A56" s="19"/>
      <c r="B56" s="30" t="s">
        <v>8</v>
      </c>
      <c r="C56" s="19"/>
      <c r="D56" s="19"/>
      <c r="E56" s="19" t="s">
        <v>21</v>
      </c>
      <c r="F56" s="19" t="s">
        <v>21</v>
      </c>
      <c r="G56" s="19" t="s">
        <v>21</v>
      </c>
      <c r="H56" s="19" t="s">
        <v>22</v>
      </c>
      <c r="L56" s="9"/>
    </row>
    <row r="57" customFormat="false" ht="15" hidden="false" customHeight="false" outlineLevel="0" collapsed="false">
      <c r="A57" s="30" t="n">
        <v>1</v>
      </c>
      <c r="B57" s="30" t="s">
        <v>8</v>
      </c>
      <c r="C57" s="32" t="str">
        <f aca="false">C40</f>
        <v>P-907A/B (HOR)</v>
      </c>
      <c r="D57" s="30" t="n">
        <f aca="false">D40</f>
        <v>14</v>
      </c>
      <c r="E57" s="30" t="n">
        <f aca="false">E40</f>
        <v>2.805</v>
      </c>
      <c r="F57" s="30" t="n">
        <f aca="false">F40</f>
        <v>1.595</v>
      </c>
      <c r="G57" s="30" t="n">
        <v>0.075</v>
      </c>
      <c r="H57" s="33" t="n">
        <f aca="false">D57*E57*F57*G57</f>
        <v>4.69767375</v>
      </c>
      <c r="J57" s="54"/>
      <c r="K57" s="54"/>
      <c r="L57" s="55"/>
    </row>
    <row r="58" customFormat="false" ht="15" hidden="false" customHeight="false" outlineLevel="0" collapsed="false">
      <c r="A58" s="20"/>
      <c r="B58" s="20"/>
      <c r="C58" s="65"/>
      <c r="D58" s="42"/>
      <c r="E58" s="21"/>
      <c r="F58" s="21"/>
      <c r="G58" s="21"/>
      <c r="H58" s="40"/>
      <c r="J58" s="54"/>
      <c r="K58" s="54"/>
      <c r="L58" s="55"/>
    </row>
    <row r="59" customFormat="false" ht="15" hidden="false" customHeight="false" outlineLevel="0" collapsed="false">
      <c r="A59" s="9"/>
      <c r="B59" s="9"/>
      <c r="C59" s="53"/>
      <c r="D59" s="9"/>
      <c r="E59" s="54"/>
      <c r="F59" s="54"/>
      <c r="G59" s="54"/>
      <c r="H59" s="55"/>
      <c r="I59" s="56" t="n">
        <f aca="false">SUM(H57:H58)*1.1</f>
        <v>5.167441125</v>
      </c>
      <c r="J59" s="57" t="s">
        <v>8</v>
      </c>
    </row>
    <row r="60" customFormat="false" ht="15" hidden="false" customHeight="false" outlineLevel="0" collapsed="false">
      <c r="A60" s="9"/>
      <c r="B60" s="9"/>
      <c r="C60" s="53"/>
      <c r="D60" s="9"/>
      <c r="E60" s="54"/>
      <c r="F60" s="54"/>
      <c r="G60" s="54"/>
      <c r="H60" s="55"/>
      <c r="M60" s="66"/>
    </row>
    <row r="61" customFormat="false" ht="15.75" hidden="false" customHeight="false" outlineLevel="0" collapsed="false">
      <c r="A61" s="61" t="s">
        <v>10</v>
      </c>
      <c r="B61" s="62"/>
      <c r="C61" s="62"/>
      <c r="D61" s="62"/>
      <c r="E61" s="62"/>
      <c r="F61" s="62"/>
      <c r="G61" s="62"/>
      <c r="H61" s="63"/>
      <c r="I61" s="54"/>
    </row>
    <row r="62" customFormat="false" ht="15" hidden="false" customHeight="false" outlineLevel="0" collapsed="false">
      <c r="A62" s="19" t="s">
        <v>15</v>
      </c>
      <c r="B62" s="19"/>
      <c r="C62" s="19" t="s">
        <v>4</v>
      </c>
      <c r="D62" s="19" t="s">
        <v>16</v>
      </c>
      <c r="E62" s="19" t="s">
        <v>29</v>
      </c>
      <c r="F62" s="19" t="s">
        <v>30</v>
      </c>
      <c r="G62" s="19" t="s">
        <v>19</v>
      </c>
      <c r="H62" s="19" t="s">
        <v>20</v>
      </c>
      <c r="I62" s="54"/>
    </row>
    <row r="63" customFormat="false" ht="15" hidden="false" customHeight="false" outlineLevel="0" collapsed="false">
      <c r="A63" s="19"/>
      <c r="B63" s="30" t="s">
        <v>10</v>
      </c>
      <c r="C63" s="45"/>
      <c r="D63" s="45"/>
      <c r="E63" s="45" t="s">
        <v>21</v>
      </c>
      <c r="F63" s="45" t="s">
        <v>21</v>
      </c>
      <c r="G63" s="45" t="s">
        <v>21</v>
      </c>
      <c r="H63" s="45" t="s">
        <v>22</v>
      </c>
      <c r="I63" s="54"/>
    </row>
    <row r="64" customFormat="false" ht="15" hidden="false" customHeight="false" outlineLevel="0" collapsed="false">
      <c r="A64" s="30" t="n">
        <v>1</v>
      </c>
      <c r="B64" s="30" t="s">
        <v>10</v>
      </c>
      <c r="C64" s="32" t="str">
        <f aca="false">C40</f>
        <v>P-907A/B (HOR)</v>
      </c>
      <c r="D64" s="30" t="n">
        <f aca="false">D40</f>
        <v>14</v>
      </c>
      <c r="E64" s="30" t="n">
        <f aca="false">E40-0.15</f>
        <v>2.655</v>
      </c>
      <c r="F64" s="30" t="n">
        <f aca="false">F40-0.15</f>
        <v>1.445</v>
      </c>
      <c r="G64" s="30" t="n">
        <f aca="false">0.9+0.3-0.05</f>
        <v>1.15</v>
      </c>
      <c r="H64" s="67" t="n">
        <f aca="false">D64*E64*F64*G64</f>
        <v>61.7672475</v>
      </c>
      <c r="I64" s="54"/>
    </row>
    <row r="65" customFormat="false" ht="15" hidden="false" customHeight="false" outlineLevel="0" collapsed="false">
      <c r="A65" s="20"/>
      <c r="B65" s="20"/>
      <c r="C65" s="68"/>
      <c r="D65" s="20"/>
      <c r="E65" s="69"/>
      <c r="F65" s="20"/>
      <c r="G65" s="70"/>
      <c r="H65" s="71"/>
      <c r="I65" s="54"/>
    </row>
    <row r="66" customFormat="false" ht="15" hidden="false" customHeight="false" outlineLevel="0" collapsed="false">
      <c r="A66" s="20"/>
      <c r="B66" s="20"/>
      <c r="C66" s="68"/>
      <c r="D66" s="20"/>
      <c r="E66" s="69"/>
      <c r="F66" s="20"/>
      <c r="G66" s="20"/>
      <c r="H66" s="71"/>
      <c r="I66" s="54"/>
    </row>
    <row r="67" customFormat="false" ht="15" hidden="false" customHeight="false" outlineLevel="0" collapsed="false">
      <c r="A67" s="9"/>
      <c r="B67" s="9"/>
      <c r="C67" s="53"/>
      <c r="D67" s="9"/>
      <c r="E67" s="54"/>
      <c r="F67" s="54"/>
      <c r="G67" s="54"/>
      <c r="H67" s="55"/>
      <c r="I67" s="72" t="n">
        <f aca="false">SUM(H64:H67)*1.1</f>
        <v>67.94397225</v>
      </c>
      <c r="J67" s="73" t="s">
        <v>10</v>
      </c>
      <c r="K67" s="58"/>
    </row>
    <row r="68" customFormat="false" ht="15" hidden="false" customHeight="false" outlineLevel="0" collapsed="false">
      <c r="A68" s="9"/>
      <c r="B68" s="9"/>
      <c r="C68" s="53"/>
      <c r="D68" s="9"/>
      <c r="E68" s="54"/>
      <c r="F68" s="54"/>
      <c r="G68" s="54"/>
      <c r="H68" s="55"/>
      <c r="I68" s="74"/>
      <c r="J68" s="58"/>
      <c r="K68" s="58"/>
    </row>
    <row r="69" customFormat="false" ht="15.75" hidden="false" customHeight="false" outlineLevel="0" collapsed="false">
      <c r="A69" s="61" t="s">
        <v>11</v>
      </c>
      <c r="B69" s="62"/>
      <c r="C69" s="62"/>
      <c r="D69" s="62"/>
      <c r="E69" s="62"/>
      <c r="F69" s="62"/>
      <c r="G69" s="62"/>
      <c r="H69" s="63"/>
      <c r="I69" s="58"/>
      <c r="J69" s="58"/>
      <c r="K69" s="58"/>
    </row>
    <row r="70" customFormat="false" ht="15" hidden="false" customHeight="false" outlineLevel="0" collapsed="false">
      <c r="A70" s="19" t="s">
        <v>15</v>
      </c>
      <c r="B70" s="19"/>
      <c r="C70" s="19" t="s">
        <v>4</v>
      </c>
      <c r="D70" s="19" t="s">
        <v>16</v>
      </c>
      <c r="E70" s="19" t="s">
        <v>29</v>
      </c>
      <c r="F70" s="19" t="s">
        <v>30</v>
      </c>
      <c r="G70" s="19" t="s">
        <v>19</v>
      </c>
      <c r="H70" s="19" t="s">
        <v>20</v>
      </c>
      <c r="I70" s="58"/>
      <c r="J70" s="58"/>
      <c r="K70" s="58"/>
    </row>
    <row r="71" customFormat="false" ht="15" hidden="false" customHeight="false" outlineLevel="0" collapsed="false">
      <c r="A71" s="19"/>
      <c r="B71" s="30" t="s">
        <v>11</v>
      </c>
      <c r="C71" s="19"/>
      <c r="D71" s="19"/>
      <c r="E71" s="19" t="s">
        <v>21</v>
      </c>
      <c r="F71" s="19" t="s">
        <v>21</v>
      </c>
      <c r="G71" s="19" t="s">
        <v>21</v>
      </c>
      <c r="H71" s="19" t="s">
        <v>31</v>
      </c>
      <c r="I71" s="58"/>
      <c r="J71" s="58"/>
      <c r="K71" s="58"/>
    </row>
    <row r="72" customFormat="false" ht="15" hidden="false" customHeight="false" outlineLevel="0" collapsed="false">
      <c r="A72" s="19"/>
      <c r="B72" s="19"/>
      <c r="C72" s="75"/>
      <c r="D72" s="45"/>
      <c r="E72" s="45"/>
      <c r="F72" s="45"/>
      <c r="G72" s="45"/>
      <c r="H72" s="45"/>
      <c r="I72" s="58"/>
      <c r="J72" s="58"/>
      <c r="K72" s="58"/>
    </row>
    <row r="73" customFormat="false" ht="15" hidden="false" customHeight="false" outlineLevel="0" collapsed="false">
      <c r="A73" s="30" t="n">
        <v>1</v>
      </c>
      <c r="B73" s="30" t="s">
        <v>11</v>
      </c>
      <c r="C73" s="76" t="str">
        <f aca="false">C40</f>
        <v>P-907A/B (HOR)</v>
      </c>
      <c r="D73" s="30" t="n">
        <f aca="false">D40</f>
        <v>14</v>
      </c>
      <c r="E73" s="77" t="n">
        <v>8.2</v>
      </c>
      <c r="F73" s="77"/>
      <c r="G73" s="77" t="n">
        <f aca="false">0.15+0.9+0.05</f>
        <v>1.1</v>
      </c>
      <c r="H73" s="33" t="n">
        <f aca="false">G73*E73*D73</f>
        <v>126.28</v>
      </c>
      <c r="I73" s="58"/>
      <c r="J73" s="58"/>
      <c r="K73" s="58"/>
    </row>
    <row r="74" customFormat="false" ht="15" hidden="false" customHeight="false" outlineLevel="0" collapsed="false">
      <c r="A74" s="20"/>
      <c r="B74" s="20"/>
      <c r="C74" s="78"/>
      <c r="D74" s="20"/>
      <c r="E74" s="79"/>
      <c r="F74" s="21"/>
      <c r="G74" s="71"/>
      <c r="H74" s="40"/>
      <c r="I74" s="58"/>
      <c r="J74" s="58"/>
      <c r="K74" s="58"/>
    </row>
    <row r="75" customFormat="false" ht="15" hidden="false" customHeight="false" outlineLevel="0" collapsed="false">
      <c r="A75" s="20"/>
      <c r="B75" s="20"/>
      <c r="C75" s="78"/>
      <c r="D75" s="20"/>
      <c r="E75" s="21"/>
      <c r="F75" s="21"/>
      <c r="G75" s="21"/>
      <c r="H75" s="40"/>
      <c r="I75" s="58"/>
      <c r="J75" s="58"/>
      <c r="K75" s="58"/>
    </row>
    <row r="76" customFormat="false" ht="15" hidden="false" customHeight="false" outlineLevel="0" collapsed="false">
      <c r="A76" s="19"/>
      <c r="B76" s="19"/>
      <c r="C76" s="50"/>
      <c r="D76" s="19"/>
      <c r="E76" s="80"/>
      <c r="F76" s="80"/>
      <c r="G76" s="19"/>
      <c r="H76" s="19"/>
      <c r="I76" s="81" t="n">
        <f aca="false">SUM(H72:H76)*1.1</f>
        <v>138.908</v>
      </c>
      <c r="J76" s="82" t="s">
        <v>32</v>
      </c>
      <c r="K76" s="58"/>
    </row>
    <row r="77" customFormat="false" ht="15" hidden="false" customHeight="false" outlineLevel="0" collapsed="false">
      <c r="A77" s="83"/>
      <c r="B77" s="83"/>
      <c r="C77" s="84"/>
      <c r="D77" s="83"/>
      <c r="E77" s="85"/>
      <c r="F77" s="85"/>
      <c r="G77" s="83"/>
      <c r="H77" s="83"/>
      <c r="I77" s="58"/>
      <c r="J77" s="58"/>
      <c r="K77" s="58"/>
    </row>
    <row r="78" customFormat="false" ht="15.75" hidden="false" customHeight="false" outlineLevel="0" collapsed="false">
      <c r="A78" s="61" t="s">
        <v>12</v>
      </c>
      <c r="B78" s="62"/>
      <c r="C78" s="62"/>
      <c r="D78" s="62"/>
      <c r="E78" s="62"/>
      <c r="F78" s="62"/>
      <c r="G78" s="62"/>
      <c r="H78" s="63"/>
    </row>
    <row r="79" customFormat="false" ht="15" hidden="false" customHeight="false" outlineLevel="0" collapsed="false">
      <c r="A79" s="19" t="s">
        <v>15</v>
      </c>
      <c r="B79" s="19"/>
      <c r="C79" s="19" t="s">
        <v>4</v>
      </c>
      <c r="D79" s="19" t="s">
        <v>16</v>
      </c>
      <c r="E79" s="19" t="s">
        <v>33</v>
      </c>
      <c r="F79" s="19" t="s">
        <v>34</v>
      </c>
      <c r="G79" s="19" t="s">
        <v>35</v>
      </c>
      <c r="H79" s="19" t="s">
        <v>35</v>
      </c>
    </row>
    <row r="80" customFormat="false" ht="15" hidden="false" customHeight="false" outlineLevel="0" collapsed="false">
      <c r="A80" s="19"/>
      <c r="B80" s="30" t="s">
        <v>12</v>
      </c>
      <c r="C80" s="19"/>
      <c r="D80" s="19"/>
      <c r="E80" s="19" t="s">
        <v>36</v>
      </c>
      <c r="F80" s="19" t="s">
        <v>37</v>
      </c>
      <c r="G80" s="19" t="s">
        <v>38</v>
      </c>
      <c r="H80" s="45" t="s">
        <v>39</v>
      </c>
    </row>
    <row r="81" customFormat="false" ht="15" hidden="false" customHeight="false" outlineLevel="0" collapsed="false">
      <c r="A81" s="19"/>
      <c r="B81" s="19"/>
      <c r="C81" s="50" t="s">
        <v>12</v>
      </c>
      <c r="D81" s="19"/>
      <c r="E81" s="19"/>
      <c r="F81" s="19"/>
      <c r="G81" s="19"/>
      <c r="H81" s="19"/>
    </row>
    <row r="82" customFormat="false" ht="15" hidden="false" customHeight="false" outlineLevel="0" collapsed="false">
      <c r="A82" s="30"/>
      <c r="B82" s="30" t="s">
        <v>12</v>
      </c>
      <c r="C82" s="86" t="s">
        <v>40</v>
      </c>
      <c r="D82" s="30"/>
      <c r="E82" s="87" t="n">
        <f aca="false">I67</f>
        <v>67.94397225</v>
      </c>
      <c r="F82" s="30" t="n">
        <v>100</v>
      </c>
      <c r="G82" s="30" t="n">
        <f aca="false">E82*F82</f>
        <v>6794.397225</v>
      </c>
      <c r="H82" s="30" t="n">
        <f aca="false">G82/1000</f>
        <v>6.794397225</v>
      </c>
      <c r="I82" s="88"/>
      <c r="J82" s="88"/>
    </row>
    <row r="83" customFormat="false" ht="15" hidden="false" customHeight="false" outlineLevel="0" collapsed="false">
      <c r="A83" s="19"/>
      <c r="B83" s="19"/>
      <c r="C83" s="51"/>
      <c r="D83" s="19"/>
      <c r="E83" s="89"/>
      <c r="F83" s="19"/>
      <c r="G83" s="19"/>
      <c r="H83" s="19"/>
      <c r="I83" s="88"/>
      <c r="J83" s="88"/>
    </row>
    <row r="84" customFormat="false" ht="15" hidden="false" customHeight="false" outlineLevel="0" collapsed="false">
      <c r="A84" s="51"/>
      <c r="B84" s="51"/>
      <c r="C84" s="51"/>
      <c r="D84" s="17" t="s">
        <v>41</v>
      </c>
      <c r="E84" s="90" t="n">
        <f aca="false">SUM(E82:E83)</f>
        <v>67.94397225</v>
      </c>
      <c r="F84" s="19"/>
      <c r="G84" s="17" t="n">
        <f aca="false">SUM(G82:G83)</f>
        <v>6794.397225</v>
      </c>
      <c r="H84" s="17" t="n">
        <f aca="false">SUM(H82:H83)</f>
        <v>6.794397225</v>
      </c>
      <c r="I84" s="91" t="n">
        <f aca="false">H84*1.1</f>
        <v>7.4738369475</v>
      </c>
      <c r="J84" s="82" t="s">
        <v>42</v>
      </c>
    </row>
    <row r="85" customFormat="false" ht="15" hidden="false" customHeight="false" outlineLevel="0" collapsed="false">
      <c r="A85" s="54"/>
      <c r="B85" s="54"/>
      <c r="C85" s="54"/>
      <c r="D85" s="54"/>
      <c r="E85" s="54"/>
      <c r="F85" s="92" t="s">
        <v>43</v>
      </c>
      <c r="G85" s="92" t="n">
        <f aca="false">H84*1000/E84</f>
        <v>100</v>
      </c>
      <c r="H85" s="54"/>
    </row>
    <row r="86" customFormat="false" ht="15" hidden="false" customHeight="false" outlineLevel="0" collapsed="false">
      <c r="A86" s="9"/>
      <c r="B86" s="9"/>
      <c r="C86" s="9"/>
      <c r="D86" s="9"/>
      <c r="E86" s="9"/>
      <c r="F86" s="9"/>
      <c r="G86" s="9"/>
      <c r="H86" s="9"/>
      <c r="I86" s="9"/>
      <c r="J86" s="88"/>
    </row>
    <row r="87" customFormat="false" ht="15.75" hidden="false" customHeight="false" outlineLevel="0" collapsed="false">
      <c r="A87" s="61" t="s">
        <v>44</v>
      </c>
      <c r="B87" s="62"/>
      <c r="C87" s="62"/>
      <c r="D87" s="62"/>
      <c r="E87" s="62"/>
      <c r="F87" s="62"/>
      <c r="G87" s="62"/>
      <c r="H87" s="63"/>
      <c r="I87" s="88"/>
      <c r="J87" s="88"/>
    </row>
    <row r="88" customFormat="false" ht="15" hidden="false" customHeight="false" outlineLevel="0" collapsed="false">
      <c r="A88" s="19" t="s">
        <v>15</v>
      </c>
      <c r="B88" s="19"/>
      <c r="C88" s="19" t="s">
        <v>4</v>
      </c>
      <c r="D88" s="19" t="s">
        <v>16</v>
      </c>
      <c r="E88" s="19" t="s">
        <v>29</v>
      </c>
      <c r="F88" s="19" t="s">
        <v>30</v>
      </c>
      <c r="G88" s="19" t="s">
        <v>19</v>
      </c>
      <c r="H88" s="19" t="s">
        <v>20</v>
      </c>
      <c r="I88" s="88"/>
      <c r="J88" s="88"/>
    </row>
    <row r="89" customFormat="false" ht="15" hidden="false" customHeight="false" outlineLevel="0" collapsed="false">
      <c r="A89" s="19"/>
      <c r="B89" s="19"/>
      <c r="C89" s="19"/>
      <c r="D89" s="19"/>
      <c r="E89" s="19" t="s">
        <v>21</v>
      </c>
      <c r="F89" s="19" t="s">
        <v>21</v>
      </c>
      <c r="G89" s="19" t="s">
        <v>21</v>
      </c>
      <c r="H89" s="19" t="s">
        <v>31</v>
      </c>
      <c r="I89" s="88"/>
      <c r="J89" s="88"/>
    </row>
    <row r="90" customFormat="false" ht="15" hidden="false" customHeight="false" outlineLevel="0" collapsed="false">
      <c r="A90" s="20"/>
      <c r="B90" s="20"/>
      <c r="C90" s="39"/>
      <c r="D90" s="21"/>
      <c r="E90" s="21"/>
      <c r="F90" s="21"/>
      <c r="G90" s="21"/>
      <c r="H90" s="40"/>
      <c r="I90" s="88"/>
      <c r="J90" s="88"/>
    </row>
    <row r="91" customFormat="false" ht="15" hidden="false" customHeight="false" outlineLevel="0" collapsed="false">
      <c r="A91" s="20"/>
      <c r="B91" s="20"/>
      <c r="C91" s="39"/>
      <c r="D91" s="21"/>
      <c r="E91" s="21"/>
      <c r="F91" s="20"/>
      <c r="G91" s="20"/>
      <c r="H91" s="40"/>
      <c r="I91" s="88"/>
      <c r="J91" s="88"/>
    </row>
    <row r="92" customFormat="false" ht="15" hidden="false" customHeight="false" outlineLevel="0" collapsed="false">
      <c r="A92" s="19"/>
      <c r="B92" s="19"/>
      <c r="C92" s="17"/>
      <c r="D92" s="19"/>
      <c r="E92" s="19"/>
      <c r="F92" s="19"/>
      <c r="G92" s="19"/>
      <c r="H92" s="89"/>
      <c r="I92" s="41" t="n">
        <f aca="false">SUM(H90:H91)</f>
        <v>0</v>
      </c>
      <c r="J92" s="82" t="s">
        <v>45</v>
      </c>
      <c r="L92" s="58"/>
    </row>
    <row r="93" customFormat="false" ht="15" hidden="false" customHeight="false" outlineLevel="0" collapsed="false">
      <c r="A93" s="88"/>
      <c r="B93" s="88"/>
      <c r="C93" s="88"/>
      <c r="D93" s="88"/>
      <c r="E93" s="88"/>
      <c r="F93" s="88"/>
      <c r="G93" s="88"/>
      <c r="H93" s="88"/>
      <c r="I93" s="88"/>
      <c r="J93" s="88"/>
    </row>
    <row r="94" customFormat="false" ht="15.75" hidden="false" customHeight="false" outlineLevel="0" collapsed="false">
      <c r="A94" s="61" t="s">
        <v>13</v>
      </c>
      <c r="B94" s="62"/>
      <c r="C94" s="62"/>
      <c r="D94" s="62"/>
      <c r="E94" s="62"/>
      <c r="F94" s="62"/>
      <c r="G94" s="62"/>
      <c r="H94" s="63"/>
      <c r="I94" s="88"/>
      <c r="J94" s="88"/>
    </row>
    <row r="95" customFormat="false" ht="15" hidden="false" customHeight="false" outlineLevel="0" collapsed="false">
      <c r="A95" s="19" t="s">
        <v>15</v>
      </c>
      <c r="B95" s="19"/>
      <c r="C95" s="19" t="s">
        <v>4</v>
      </c>
      <c r="D95" s="19" t="s">
        <v>16</v>
      </c>
      <c r="E95" s="19" t="s">
        <v>29</v>
      </c>
      <c r="F95" s="19" t="s">
        <v>30</v>
      </c>
      <c r="G95" s="19" t="s">
        <v>19</v>
      </c>
      <c r="H95" s="19" t="s">
        <v>20</v>
      </c>
      <c r="I95" s="88"/>
      <c r="J95" s="88"/>
    </row>
    <row r="96" customFormat="false" ht="15" hidden="false" customHeight="false" outlineLevel="0" collapsed="false">
      <c r="A96" s="19"/>
      <c r="B96" s="76" t="s">
        <v>13</v>
      </c>
      <c r="C96" s="19"/>
      <c r="D96" s="19"/>
      <c r="E96" s="19" t="s">
        <v>21</v>
      </c>
      <c r="F96" s="19" t="s">
        <v>21</v>
      </c>
      <c r="G96" s="19" t="s">
        <v>21</v>
      </c>
      <c r="H96" s="19" t="s">
        <v>22</v>
      </c>
      <c r="I96" s="88"/>
      <c r="J96" s="88"/>
    </row>
    <row r="97" customFormat="false" ht="15" hidden="false" customHeight="false" outlineLevel="0" collapsed="false">
      <c r="A97" s="30" t="n">
        <v>1</v>
      </c>
      <c r="B97" s="76" t="s">
        <v>13</v>
      </c>
      <c r="C97" s="32" t="s">
        <v>46</v>
      </c>
      <c r="D97" s="30" t="n">
        <v>14</v>
      </c>
      <c r="E97" s="30" t="n">
        <v>2.451</v>
      </c>
      <c r="F97" s="30" t="n">
        <v>1.245</v>
      </c>
      <c r="G97" s="30" t="n">
        <v>0.16</v>
      </c>
      <c r="H97" s="93" t="n">
        <f aca="false">D97*E97*F97*G97</f>
        <v>6.8353488</v>
      </c>
      <c r="I97" s="88"/>
      <c r="J97" s="88"/>
    </row>
    <row r="98" customFormat="false" ht="15" hidden="false" customHeight="false" outlineLevel="0" collapsed="false">
      <c r="A98" s="30"/>
      <c r="B98" s="76" t="s">
        <v>13</v>
      </c>
      <c r="C98" s="32" t="s">
        <v>47</v>
      </c>
      <c r="D98" s="30" t="n">
        <v>14</v>
      </c>
      <c r="E98" s="30" t="n">
        <v>2.655</v>
      </c>
      <c r="F98" s="30" t="n">
        <v>1.445</v>
      </c>
      <c r="G98" s="30" t="n">
        <v>0.05</v>
      </c>
      <c r="H98" s="93" t="n">
        <f aca="false">D98*E98*F98*G98</f>
        <v>2.6855325</v>
      </c>
      <c r="I98" s="88"/>
      <c r="J98" s="88"/>
    </row>
    <row r="99" customFormat="false" ht="15" hidden="false" customHeight="false" outlineLevel="0" collapsed="false">
      <c r="A99" s="20"/>
      <c r="B99" s="20"/>
      <c r="C99" s="39"/>
      <c r="D99" s="20"/>
      <c r="E99" s="20"/>
      <c r="F99" s="20"/>
      <c r="G99" s="20"/>
      <c r="H99" s="48"/>
      <c r="I99" s="88"/>
      <c r="J99" s="88"/>
    </row>
    <row r="100" customFormat="false" ht="15" hidden="false" customHeight="false" outlineLevel="0" collapsed="false">
      <c r="A100" s="20"/>
      <c r="B100" s="20"/>
      <c r="C100" s="39"/>
      <c r="D100" s="20"/>
      <c r="E100" s="20"/>
      <c r="F100" s="20"/>
      <c r="G100" s="20"/>
      <c r="H100" s="70"/>
      <c r="I100" s="94"/>
      <c r="J100" s="95"/>
    </row>
    <row r="101" customFormat="false" ht="15" hidden="false" customHeight="false" outlineLevel="0" collapsed="false">
      <c r="A101" s="96"/>
      <c r="B101" s="96"/>
      <c r="C101" s="97"/>
      <c r="D101" s="96"/>
      <c r="E101" s="96"/>
      <c r="F101" s="96"/>
      <c r="G101" s="96"/>
      <c r="H101" s="98"/>
      <c r="I101" s="99" t="n">
        <f aca="false">SUM(H97:H101)*1.1</f>
        <v>10.47296943</v>
      </c>
      <c r="J101" s="82" t="s">
        <v>48</v>
      </c>
    </row>
    <row r="102" customFormat="false" ht="15" hidden="false" customHeight="false" outlineLevel="0" collapsed="false">
      <c r="A102" s="88"/>
      <c r="B102" s="88"/>
      <c r="C102" s="88"/>
      <c r="D102" s="88"/>
      <c r="E102" s="88"/>
      <c r="F102" s="88"/>
      <c r="G102" s="88"/>
      <c r="H102" s="88"/>
      <c r="I102" s="88"/>
      <c r="J102" s="88"/>
    </row>
    <row r="103" customFormat="false" ht="15.75" hidden="false" customHeight="false" outlineLevel="0" collapsed="false">
      <c r="A103" s="61" t="s">
        <v>49</v>
      </c>
      <c r="B103" s="62"/>
      <c r="C103" s="62"/>
      <c r="D103" s="62"/>
      <c r="E103" s="62"/>
      <c r="F103" s="62"/>
      <c r="G103" s="62"/>
      <c r="H103" s="63"/>
      <c r="I103" s="88"/>
      <c r="J103" s="88"/>
    </row>
    <row r="104" customFormat="false" ht="15" hidden="false" customHeight="false" outlineLevel="0" collapsed="false">
      <c r="A104" s="19" t="s">
        <v>15</v>
      </c>
      <c r="B104" s="19"/>
      <c r="C104" s="19" t="s">
        <v>4</v>
      </c>
      <c r="D104" s="19" t="s">
        <v>16</v>
      </c>
      <c r="E104" s="19" t="s">
        <v>29</v>
      </c>
      <c r="F104" s="19" t="s">
        <v>30</v>
      </c>
      <c r="G104" s="19" t="s">
        <v>19</v>
      </c>
      <c r="H104" s="19" t="s">
        <v>20</v>
      </c>
      <c r="I104" s="88"/>
      <c r="J104" s="88"/>
    </row>
    <row r="105" customFormat="false" ht="15" hidden="false" customHeight="false" outlineLevel="0" collapsed="false">
      <c r="A105" s="19"/>
      <c r="B105" s="19"/>
      <c r="C105" s="19"/>
      <c r="D105" s="19"/>
      <c r="E105" s="19" t="s">
        <v>21</v>
      </c>
      <c r="F105" s="19" t="s">
        <v>21</v>
      </c>
      <c r="G105" s="19" t="s">
        <v>21</v>
      </c>
      <c r="H105" s="19" t="s">
        <v>22</v>
      </c>
      <c r="I105" s="88"/>
      <c r="J105" s="88"/>
    </row>
    <row r="106" customFormat="false" ht="15" hidden="false" customHeight="false" outlineLevel="0" collapsed="false">
      <c r="A106" s="20"/>
      <c r="B106" s="20"/>
      <c r="C106" s="39"/>
      <c r="D106" s="20"/>
      <c r="E106" s="20"/>
      <c r="F106" s="20"/>
      <c r="G106" s="20"/>
      <c r="H106" s="70"/>
      <c r="I106" s="88"/>
      <c r="J106" s="88"/>
    </row>
    <row r="107" customFormat="false" ht="14.25" hidden="false" customHeight="true" outlineLevel="0" collapsed="false">
      <c r="A107" s="20"/>
      <c r="B107" s="20"/>
      <c r="C107" s="39"/>
      <c r="D107" s="20"/>
      <c r="E107" s="69"/>
      <c r="F107" s="20"/>
      <c r="G107" s="20"/>
      <c r="H107" s="70"/>
      <c r="I107" s="88"/>
      <c r="J107" s="88"/>
    </row>
    <row r="108" customFormat="false" ht="15" hidden="false" customHeight="false" outlineLevel="0" collapsed="false">
      <c r="A108" s="19"/>
      <c r="B108" s="19"/>
      <c r="C108" s="17"/>
      <c r="D108" s="19"/>
      <c r="E108" s="19"/>
      <c r="F108" s="19"/>
      <c r="G108" s="19"/>
      <c r="H108" s="89"/>
      <c r="I108" s="100" t="n">
        <f aca="false">SUM(H106:H107)</f>
        <v>0</v>
      </c>
      <c r="J108" s="57" t="s">
        <v>50</v>
      </c>
    </row>
    <row r="110" customFormat="false" ht="15.75" hidden="false" customHeight="false" outlineLevel="0" collapsed="false">
      <c r="A110" s="61" t="s">
        <v>14</v>
      </c>
      <c r="B110" s="62"/>
      <c r="C110" s="62"/>
      <c r="D110" s="62"/>
      <c r="E110" s="62"/>
      <c r="F110" s="62"/>
      <c r="G110" s="62"/>
      <c r="H110" s="63"/>
      <c r="I110" s="88"/>
      <c r="J110" s="88"/>
    </row>
    <row r="111" customFormat="false" ht="15" hidden="false" customHeight="false" outlineLevel="0" collapsed="false">
      <c r="A111" s="19" t="s">
        <v>15</v>
      </c>
      <c r="B111" s="19"/>
      <c r="C111" s="19" t="s">
        <v>4</v>
      </c>
      <c r="D111" s="19" t="s">
        <v>16</v>
      </c>
      <c r="E111" s="19" t="s">
        <v>51</v>
      </c>
      <c r="F111" s="19" t="s">
        <v>52</v>
      </c>
      <c r="G111" s="19" t="s">
        <v>53</v>
      </c>
      <c r="H111" s="19" t="s">
        <v>20</v>
      </c>
      <c r="I111" s="88"/>
      <c r="J111" s="88"/>
    </row>
    <row r="112" customFormat="false" ht="15" hidden="false" customHeight="false" outlineLevel="0" collapsed="false">
      <c r="A112" s="19"/>
      <c r="B112" s="30" t="str">
        <f aca="false">$A$110</f>
        <v>ANCHOR BOLTS</v>
      </c>
      <c r="C112" s="19"/>
      <c r="D112" s="19"/>
      <c r="E112" s="19" t="s">
        <v>54</v>
      </c>
      <c r="F112" s="19" t="s">
        <v>55</v>
      </c>
      <c r="G112" s="19" t="s">
        <v>56</v>
      </c>
      <c r="H112" s="19" t="s">
        <v>57</v>
      </c>
      <c r="I112" s="88"/>
      <c r="J112" s="88"/>
    </row>
    <row r="113" customFormat="false" ht="15" hidden="false" customHeight="false" outlineLevel="0" collapsed="false">
      <c r="A113" s="30" t="n">
        <v>1</v>
      </c>
      <c r="B113" s="30" t="str">
        <f aca="false">$A$110</f>
        <v>ANCHOR BOLTS</v>
      </c>
      <c r="C113" s="32" t="s">
        <v>23</v>
      </c>
      <c r="D113" s="30" t="n">
        <v>14</v>
      </c>
      <c r="E113" s="101" t="s">
        <v>58</v>
      </c>
      <c r="F113" s="30" t="n">
        <v>6</v>
      </c>
      <c r="G113" s="30" t="n">
        <v>5</v>
      </c>
      <c r="H113" s="33" t="n">
        <f aca="false">G113*F113*D113</f>
        <v>420</v>
      </c>
      <c r="I113" s="88"/>
      <c r="J113" s="88"/>
    </row>
    <row r="114" customFormat="false" ht="15" hidden="false" customHeight="false" outlineLevel="0" collapsed="false">
      <c r="A114" s="20" t="n">
        <v>2</v>
      </c>
      <c r="B114" s="20"/>
      <c r="C114" s="39"/>
      <c r="D114" s="20"/>
      <c r="E114" s="102"/>
      <c r="F114" s="20"/>
      <c r="G114" s="20"/>
      <c r="H114" s="40"/>
      <c r="I114" s="88"/>
      <c r="J114" s="88"/>
    </row>
    <row r="115" customFormat="false" ht="15" hidden="false" customHeight="false" outlineLevel="0" collapsed="false">
      <c r="A115" s="20" t="n">
        <v>10</v>
      </c>
      <c r="B115" s="20"/>
      <c r="C115" s="39"/>
      <c r="D115" s="20"/>
      <c r="E115" s="20"/>
      <c r="F115" s="20"/>
      <c r="G115" s="20"/>
      <c r="H115" s="40"/>
      <c r="I115" s="88"/>
      <c r="J115" s="88"/>
    </row>
    <row r="116" customFormat="false" ht="15" hidden="false" customHeight="false" outlineLevel="0" collapsed="false">
      <c r="A116" s="20" t="n">
        <v>11</v>
      </c>
      <c r="B116" s="20"/>
      <c r="C116" s="39"/>
      <c r="D116" s="20"/>
      <c r="E116" s="20"/>
      <c r="F116" s="20"/>
      <c r="G116" s="20"/>
      <c r="H116" s="40"/>
      <c r="I116" s="88"/>
      <c r="J116" s="88"/>
    </row>
    <row r="117" customFormat="false" ht="15" hidden="false" customHeight="false" outlineLevel="0" collapsed="false">
      <c r="A117" s="9"/>
      <c r="B117" s="9"/>
      <c r="E117" s="9"/>
      <c r="F117" s="9"/>
      <c r="G117" s="9"/>
      <c r="H117" s="103"/>
      <c r="I117" s="44" t="n">
        <f aca="false">SUM(H113:H116)*1.1</f>
        <v>462</v>
      </c>
      <c r="J117" s="57" t="s">
        <v>59</v>
      </c>
    </row>
    <row r="118" customFormat="false" ht="15" hidden="false" customHeight="false" outlineLevel="0" collapsed="false">
      <c r="A118" s="88"/>
      <c r="B118" s="88"/>
      <c r="C118" s="88"/>
      <c r="D118" s="88"/>
      <c r="E118" s="88"/>
      <c r="F118" s="88"/>
      <c r="G118" s="88"/>
      <c r="H118" s="88"/>
      <c r="I118" s="88"/>
      <c r="J118" s="104" t="s">
        <v>60</v>
      </c>
    </row>
    <row r="119" customFormat="false" ht="15" hidden="false" customHeight="false" outlineLevel="0" collapsed="false">
      <c r="A119" s="95"/>
      <c r="B119" s="95"/>
      <c r="C119" s="105"/>
      <c r="D119" s="95"/>
      <c r="E119" s="54"/>
      <c r="F119" s="54"/>
    </row>
    <row r="120" customFormat="false" ht="15" hidden="false" customHeight="false" outlineLevel="0" collapsed="false">
      <c r="A120" s="54"/>
      <c r="B120" s="54"/>
      <c r="C120" s="54"/>
      <c r="D120" s="54"/>
      <c r="E120" s="54"/>
      <c r="F120" s="54"/>
    </row>
    <row r="121" customFormat="false" ht="15" hidden="false" customHeight="false" outlineLevel="0" collapsed="false">
      <c r="A121" s="54"/>
      <c r="B121" s="54"/>
      <c r="C121" s="54"/>
      <c r="D121" s="54"/>
      <c r="E121" s="106"/>
      <c r="F121" s="106"/>
    </row>
    <row r="122" customFormat="false" ht="15" hidden="false" customHeight="false" outlineLevel="0" collapsed="false">
      <c r="A122" s="54"/>
      <c r="B122" s="54"/>
      <c r="C122" s="54"/>
      <c r="D122" s="54"/>
      <c r="E122" s="106"/>
      <c r="F122" s="106"/>
    </row>
    <row r="123" customFormat="false" ht="15" hidden="false" customHeight="false" outlineLevel="0" collapsed="false">
      <c r="A123" s="54"/>
      <c r="B123" s="54"/>
      <c r="C123" s="54"/>
      <c r="D123" s="54"/>
      <c r="E123" s="106"/>
      <c r="F123" s="106"/>
    </row>
    <row r="124" customFormat="false" ht="15" hidden="false" customHeight="false" outlineLevel="0" collapsed="false">
      <c r="A124" s="54"/>
      <c r="B124" s="54"/>
      <c r="C124" s="54"/>
      <c r="D124" s="54"/>
      <c r="E124" s="106"/>
      <c r="F124" s="106"/>
    </row>
    <row r="125" customFormat="false" ht="15" hidden="false" customHeight="false" outlineLevel="0" collapsed="false">
      <c r="A125" s="54"/>
      <c r="B125" s="54"/>
      <c r="C125" s="54"/>
      <c r="D125" s="54"/>
      <c r="E125" s="54"/>
      <c r="F125" s="54"/>
    </row>
  </sheetData>
  <mergeCells count="5">
    <mergeCell ref="A1:H1"/>
    <mergeCell ref="A2:H2"/>
    <mergeCell ref="A3:H3"/>
    <mergeCell ref="C5:E5"/>
    <mergeCell ref="L38:N3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1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" activeCellId="0" sqref="I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16.14"/>
    <col collapsed="false" customWidth="true" hidden="false" outlineLevel="0" max="3" min="3" style="1" width="40.42"/>
    <col collapsed="false" customWidth="true" hidden="false" outlineLevel="0" max="4" min="4" style="1" width="14.43"/>
    <col collapsed="false" customWidth="true" hidden="false" outlineLevel="0" max="5" min="5" style="1" width="9.29"/>
    <col collapsed="false" customWidth="true" hidden="false" outlineLevel="0" max="6" min="6" style="1" width="11.99"/>
    <col collapsed="false" customWidth="true" hidden="false" outlineLevel="0" max="8" min="7" style="1" width="9.29"/>
    <col collapsed="false" customWidth="true" hidden="false" outlineLevel="0" max="9" min="9" style="1" width="10.85"/>
    <col collapsed="false" customWidth="true" hidden="false" outlineLevel="0" max="10" min="10" style="1" width="16.86"/>
    <col collapsed="false" customWidth="true" hidden="false" outlineLevel="0" max="11" min="11" style="1" width="2.99"/>
    <col collapsed="false" customWidth="true" hidden="false" outlineLevel="0" max="12" min="12" style="1" width="29.71"/>
    <col collapsed="false" customWidth="true" hidden="false" outlineLevel="0" max="13" min="13" style="1" width="9.42"/>
    <col collapsed="false" customWidth="false" hidden="false" outlineLevel="0" max="1024" min="14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 t="n">
        <v>11</v>
      </c>
      <c r="J1" s="3"/>
      <c r="K1" s="4"/>
    </row>
    <row r="2" customFormat="false" ht="21" hidden="false" customHeight="false" outlineLevel="0" collapsed="false">
      <c r="A2" s="5" t="s">
        <v>61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customFormat="false" ht="15" hidden="false" customHeight="false" outlineLevel="0" collapsed="false">
      <c r="A3" s="8" t="s">
        <v>62</v>
      </c>
      <c r="B3" s="8"/>
      <c r="C3" s="8"/>
      <c r="D3" s="8"/>
      <c r="E3" s="8"/>
      <c r="F3" s="8"/>
      <c r="G3" s="8"/>
      <c r="H3" s="8"/>
    </row>
    <row r="4" customFormat="false" ht="15" hidden="false" customHeight="false" outlineLevel="0" collapsed="false">
      <c r="A4" s="9"/>
      <c r="B4" s="9"/>
      <c r="C4" s="9"/>
      <c r="D4" s="9"/>
      <c r="E4" s="9"/>
      <c r="F4" s="9"/>
      <c r="G4" s="9"/>
      <c r="H4" s="9"/>
    </row>
    <row r="5" customFormat="false" ht="15" hidden="false" customHeight="false" outlineLevel="0" collapsed="false">
      <c r="A5" s="9"/>
      <c r="B5" s="9"/>
      <c r="F5" s="9"/>
      <c r="G5" s="9"/>
      <c r="H5" s="9"/>
    </row>
    <row r="6" customFormat="false" ht="15" hidden="false" customHeight="false" outlineLevel="0" collapsed="false">
      <c r="A6" s="9"/>
      <c r="B6" s="9"/>
      <c r="C6" s="17" t="s">
        <v>63</v>
      </c>
      <c r="D6" s="17"/>
      <c r="E6" s="17"/>
      <c r="F6" s="9"/>
      <c r="G6" s="9"/>
      <c r="H6" s="9"/>
    </row>
    <row r="7" customFormat="false" ht="15" hidden="false" customHeight="false" outlineLevel="0" collapsed="false">
      <c r="A7" s="9"/>
      <c r="B7" s="9"/>
      <c r="C7" s="14" t="s">
        <v>7</v>
      </c>
      <c r="D7" s="15" t="n">
        <f aca="false">SUMIF($B$34:$B$144,C7,$H$34:$H$144)*1.1</f>
        <v>319.26125</v>
      </c>
      <c r="E7" s="16" t="str">
        <f aca="false">INDEX($H$34:$H$145,MATCH(C7,$B$34:$B$145,0))</f>
        <v>(cu-m)</v>
      </c>
      <c r="F7" s="9"/>
      <c r="G7" s="9"/>
      <c r="H7" s="9"/>
    </row>
    <row r="8" customFormat="false" ht="15" hidden="false" customHeight="false" outlineLevel="0" collapsed="false">
      <c r="A8" s="9"/>
      <c r="B8" s="9"/>
      <c r="C8" s="14" t="s">
        <v>8</v>
      </c>
      <c r="D8" s="15" t="n">
        <f aca="false">SUMIF($B$34:$B$144,C8,$H$34:$H$144)*1.1</f>
        <v>45.60875</v>
      </c>
      <c r="E8" s="16" t="str">
        <f aca="false">INDEX($H$34:$H$145,MATCH(C8,$B$34:$B$145,0))</f>
        <v>(cu-m)</v>
      </c>
      <c r="F8" s="9"/>
      <c r="G8" s="9"/>
      <c r="H8" s="9"/>
    </row>
    <row r="9" customFormat="false" ht="15" hidden="false" customHeight="false" outlineLevel="0" collapsed="false">
      <c r="A9" s="9"/>
      <c r="B9" s="9"/>
      <c r="C9" s="17" t="s">
        <v>9</v>
      </c>
      <c r="D9" s="18"/>
      <c r="E9" s="19"/>
      <c r="F9" s="9"/>
      <c r="G9" s="9"/>
      <c r="H9" s="9"/>
    </row>
    <row r="10" customFormat="false" ht="15" hidden="false" customHeight="false" outlineLevel="0" collapsed="false">
      <c r="A10" s="9"/>
      <c r="B10" s="9"/>
      <c r="C10" s="20" t="s">
        <v>64</v>
      </c>
      <c r="D10" s="15" t="n">
        <f aca="false">SUMIF($B$34:$B$144,C10,$H$34:$H$144)*1.1</f>
        <v>136.82625</v>
      </c>
      <c r="E10" s="16" t="str">
        <f aca="false">INDEX($H$34:$H$145,MATCH(C10,$B$34:$B$145,0))</f>
        <v>(cu-m)</v>
      </c>
      <c r="F10" s="9"/>
      <c r="G10" s="9"/>
      <c r="H10" s="9"/>
    </row>
    <row r="11" customFormat="false" ht="15" hidden="false" customHeight="false" outlineLevel="0" collapsed="false">
      <c r="A11" s="9"/>
      <c r="B11" s="9"/>
      <c r="C11" s="20" t="s">
        <v>65</v>
      </c>
      <c r="D11" s="15" t="n">
        <f aca="false">SUMIF($B$34:$B$144,C11,$H$34:$H$144)*1.1</f>
        <v>136.82625</v>
      </c>
      <c r="E11" s="16" t="str">
        <f aca="false">INDEX($H$34:$H$145,MATCH(C11,$B$34:$B$145,0))</f>
        <v>(cu-m)</v>
      </c>
      <c r="F11" s="9"/>
      <c r="G11" s="9"/>
      <c r="H11" s="9"/>
    </row>
    <row r="12" customFormat="false" ht="15" hidden="false" customHeight="false" outlineLevel="0" collapsed="false">
      <c r="A12" s="9"/>
      <c r="B12" s="9"/>
      <c r="C12" s="21" t="s">
        <v>12</v>
      </c>
      <c r="D12" s="15" t="n">
        <f aca="false">SUMIF($B$34:$B$144,C12,$H$34:$H$144)*1.1</f>
        <v>11.288165625</v>
      </c>
      <c r="E12" s="16" t="str">
        <f aca="false">INDEX($H$34:$H$145,MATCH(C12,$B$34:$B$145,0))</f>
        <v>Ton</v>
      </c>
      <c r="F12" s="9"/>
      <c r="G12" s="9"/>
      <c r="H12" s="9"/>
    </row>
    <row r="13" customFormat="false" ht="15" hidden="false" customHeight="false" outlineLevel="0" collapsed="false">
      <c r="A13" s="9"/>
      <c r="B13" s="9"/>
      <c r="C13" s="20" t="s">
        <v>66</v>
      </c>
      <c r="D13" s="15" t="n">
        <f aca="false">SUMIF($B$34:$B$144,C13,$H$34:$H$144)*1.1</f>
        <v>50.16</v>
      </c>
      <c r="E13" s="16" t="str">
        <f aca="false">INDEX($H$34:$H$145,MATCH(C13,$B$34:$B$145,0))</f>
        <v>m</v>
      </c>
      <c r="F13" s="9"/>
      <c r="G13" s="9"/>
      <c r="H13" s="9"/>
    </row>
    <row r="14" customFormat="false" ht="15" hidden="false" customHeight="false" outlineLevel="0" collapsed="false">
      <c r="A14" s="9"/>
      <c r="B14" s="9"/>
      <c r="C14" s="20"/>
      <c r="D14" s="15"/>
      <c r="E14" s="19"/>
      <c r="F14" s="9"/>
      <c r="G14" s="9"/>
      <c r="H14" s="9"/>
    </row>
    <row r="15" customFormat="false" ht="15" hidden="false" customHeight="false" outlineLevel="0" collapsed="false">
      <c r="A15" s="9"/>
      <c r="B15" s="9"/>
      <c r="C15" s="20"/>
      <c r="D15" s="107"/>
      <c r="E15" s="45"/>
      <c r="F15" s="9"/>
      <c r="G15" s="9"/>
      <c r="H15" s="9"/>
    </row>
    <row r="16" customFormat="false" ht="15" hidden="false" customHeight="false" outlineLevel="0" collapsed="false">
      <c r="A16" s="9"/>
      <c r="B16" s="9"/>
      <c r="C16" s="20"/>
      <c r="D16" s="107"/>
      <c r="E16" s="45"/>
      <c r="F16" s="9"/>
      <c r="G16" s="9"/>
      <c r="H16" s="9"/>
    </row>
    <row r="17" customFormat="false" ht="15" hidden="false" customHeight="false" outlineLevel="0" collapsed="false">
      <c r="A17" s="9"/>
      <c r="B17" s="9"/>
      <c r="C17" s="9"/>
      <c r="D17" s="9"/>
      <c r="E17" s="9"/>
      <c r="F17" s="9"/>
      <c r="G17" s="9"/>
      <c r="H17" s="9"/>
    </row>
    <row r="18" customFormat="false" ht="15" hidden="false" customHeight="false" outlineLevel="0" collapsed="false">
      <c r="A18" s="9"/>
      <c r="B18" s="9"/>
      <c r="C18" s="9"/>
      <c r="D18" s="9"/>
      <c r="E18" s="9"/>
      <c r="F18" s="9"/>
      <c r="G18" s="9"/>
      <c r="H18" s="9"/>
    </row>
    <row r="19" customFormat="false" ht="15" hidden="false" customHeight="false" outlineLevel="0" collapsed="false">
      <c r="A19" s="9"/>
      <c r="B19" s="9"/>
      <c r="C19" s="9"/>
      <c r="D19" s="9"/>
      <c r="E19" s="9"/>
      <c r="F19" s="9"/>
      <c r="G19" s="9"/>
      <c r="H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9"/>
      <c r="G20" s="9"/>
      <c r="H20" s="9"/>
    </row>
    <row r="21" customFormat="false" ht="15" hidden="false" customHeight="false" outlineLevel="0" collapsed="false">
      <c r="A21" s="9"/>
      <c r="B21" s="9"/>
      <c r="C21" s="9"/>
      <c r="D21" s="9"/>
      <c r="E21" s="9"/>
      <c r="F21" s="9"/>
      <c r="G21" s="9"/>
      <c r="H21" s="9"/>
    </row>
    <row r="22" customFormat="false" ht="15" hidden="false" customHeight="false" outlineLevel="0" collapsed="false">
      <c r="A22" s="9"/>
      <c r="B22" s="9"/>
      <c r="C22" s="9"/>
      <c r="D22" s="9"/>
      <c r="E22" s="9"/>
      <c r="F22" s="9"/>
      <c r="G22" s="9"/>
      <c r="H22" s="9"/>
    </row>
    <row r="23" customFormat="false" ht="15" hidden="false" customHeight="false" outlineLevel="0" collapsed="false">
      <c r="A23" s="9"/>
      <c r="B23" s="9"/>
      <c r="C23" s="9"/>
      <c r="D23" s="9"/>
      <c r="E23" s="9"/>
      <c r="F23" s="9"/>
      <c r="G23" s="9"/>
      <c r="H23" s="9"/>
    </row>
    <row r="24" customFormat="false" ht="15" hidden="false" customHeight="false" outlineLevel="0" collapsed="false">
      <c r="A24" s="9"/>
      <c r="B24" s="9"/>
      <c r="C24" s="9"/>
      <c r="D24" s="9"/>
      <c r="E24" s="9"/>
      <c r="F24" s="9"/>
      <c r="G24" s="9"/>
      <c r="H24" s="9"/>
    </row>
    <row r="25" customFormat="false" ht="15" hidden="false" customHeight="false" outlineLevel="0" collapsed="false">
      <c r="A25" s="9"/>
      <c r="B25" s="9"/>
      <c r="C25" s="9"/>
      <c r="D25" s="9"/>
      <c r="E25" s="9"/>
      <c r="F25" s="9"/>
      <c r="G25" s="9"/>
      <c r="H25" s="9"/>
    </row>
    <row r="26" customFormat="false" ht="15" hidden="false" customHeight="false" outlineLevel="0" collapsed="false">
      <c r="A26" s="9"/>
      <c r="B26" s="9"/>
      <c r="C26" s="9"/>
      <c r="D26" s="9"/>
      <c r="E26" s="9"/>
      <c r="F26" s="9"/>
      <c r="G26" s="9"/>
      <c r="H26" s="9"/>
    </row>
    <row r="27" customFormat="false" ht="15" hidden="false" customHeight="false" outlineLevel="0" collapsed="false">
      <c r="A27" s="9"/>
      <c r="B27" s="9"/>
      <c r="C27" s="9"/>
      <c r="D27" s="9"/>
      <c r="E27" s="9"/>
      <c r="F27" s="9"/>
      <c r="G27" s="9"/>
      <c r="H27" s="9"/>
    </row>
    <row r="28" customFormat="false" ht="15" hidden="false" customHeight="false" outlineLevel="0" collapsed="false">
      <c r="A28" s="9"/>
      <c r="B28" s="9"/>
      <c r="C28" s="9"/>
      <c r="D28" s="9"/>
      <c r="E28" s="9"/>
      <c r="F28" s="9"/>
      <c r="G28" s="9"/>
      <c r="H28" s="9"/>
    </row>
    <row r="29" customFormat="false" ht="15" hidden="false" customHeight="false" outlineLevel="0" collapsed="false">
      <c r="A29" s="9"/>
      <c r="B29" s="9"/>
      <c r="C29" s="9"/>
      <c r="D29" s="9"/>
      <c r="E29" s="9"/>
      <c r="F29" s="9"/>
      <c r="G29" s="9"/>
      <c r="H29" s="9"/>
    </row>
    <row r="30" customFormat="false" ht="15" hidden="false" customHeight="false" outlineLevel="0" collapsed="false">
      <c r="A30" s="9"/>
      <c r="B30" s="9"/>
      <c r="C30" s="9"/>
      <c r="D30" s="9"/>
      <c r="E30" s="9"/>
      <c r="F30" s="9"/>
      <c r="G30" s="9"/>
      <c r="H30" s="9"/>
    </row>
    <row r="31" customFormat="false" ht="15" hidden="false" customHeight="false" outlineLevel="0" collapsed="false">
      <c r="A31" s="9"/>
      <c r="B31" s="9"/>
      <c r="C31" s="9"/>
      <c r="D31" s="9"/>
      <c r="E31" s="9"/>
      <c r="F31" s="9"/>
      <c r="G31" s="9"/>
      <c r="H31" s="9"/>
    </row>
    <row r="32" customFormat="false" ht="15" hidden="false" customHeight="false" outlineLevel="0" collapsed="false">
      <c r="A32" s="9"/>
      <c r="B32" s="9"/>
      <c r="C32" s="9"/>
      <c r="D32" s="9"/>
      <c r="E32" s="9"/>
      <c r="F32" s="9"/>
      <c r="G32" s="9"/>
      <c r="H32" s="9"/>
    </row>
    <row r="33" customFormat="false" ht="15" hidden="false" customHeight="false" outlineLevel="0" collapsed="false">
      <c r="A33" s="9"/>
      <c r="B33" s="9"/>
      <c r="C33" s="9"/>
      <c r="D33" s="9"/>
      <c r="E33" s="9"/>
      <c r="F33" s="9"/>
      <c r="G33" s="9"/>
      <c r="H33" s="9"/>
    </row>
    <row r="34" customFormat="false" ht="15" hidden="false" customHeight="false" outlineLevel="0" collapsed="false">
      <c r="A34" s="9"/>
      <c r="B34" s="9"/>
      <c r="C34" s="9"/>
      <c r="D34" s="9"/>
      <c r="E34" s="9"/>
      <c r="F34" s="9"/>
      <c r="G34" s="9"/>
      <c r="H34" s="9"/>
    </row>
    <row r="35" customFormat="false" ht="15" hidden="false" customHeight="false" outlineLevel="0" collapsed="false">
      <c r="A35" s="9"/>
      <c r="B35" s="9"/>
      <c r="C35" s="9"/>
      <c r="D35" s="9"/>
      <c r="E35" s="9"/>
      <c r="F35" s="9"/>
      <c r="G35" s="9"/>
      <c r="H35" s="9"/>
    </row>
    <row r="36" customFormat="false" ht="15" hidden="false" customHeight="false" outlineLevel="0" collapsed="false">
      <c r="A36" s="9"/>
      <c r="B36" s="9"/>
      <c r="C36" s="9"/>
      <c r="D36" s="9"/>
      <c r="E36" s="9"/>
      <c r="F36" s="9"/>
      <c r="G36" s="9"/>
      <c r="H36" s="9"/>
    </row>
    <row r="37" customFormat="false" ht="16.5" hidden="false" customHeight="false" outlineLevel="0" collapsed="false">
      <c r="A37" s="22" t="s">
        <v>7</v>
      </c>
      <c r="B37" s="23"/>
      <c r="C37" s="23"/>
      <c r="D37" s="23"/>
      <c r="E37" s="23"/>
      <c r="F37" s="23"/>
      <c r="G37" s="23"/>
      <c r="H37" s="24"/>
    </row>
    <row r="38" customFormat="false" ht="15.75" hidden="false" customHeight="false" outlineLevel="0" collapsed="false">
      <c r="A38" s="108" t="s">
        <v>15</v>
      </c>
      <c r="B38" s="109"/>
      <c r="C38" s="110" t="s">
        <v>4</v>
      </c>
      <c r="D38" s="110" t="s">
        <v>16</v>
      </c>
      <c r="E38" s="110" t="s">
        <v>17</v>
      </c>
      <c r="F38" s="110" t="s">
        <v>18</v>
      </c>
      <c r="G38" s="110" t="s">
        <v>19</v>
      </c>
      <c r="H38" s="111" t="s">
        <v>20</v>
      </c>
      <c r="L38" s="17"/>
      <c r="M38" s="17"/>
      <c r="N38" s="17"/>
    </row>
    <row r="39" customFormat="false" ht="15" hidden="false" customHeight="false" outlineLevel="0" collapsed="false">
      <c r="A39" s="112"/>
      <c r="B39" s="30" t="str">
        <f aca="false">$A$37</f>
        <v>EXCAVATION</v>
      </c>
      <c r="C39" s="113"/>
      <c r="D39" s="112"/>
      <c r="E39" s="112" t="s">
        <v>21</v>
      </c>
      <c r="F39" s="112" t="s">
        <v>21</v>
      </c>
      <c r="G39" s="112" t="s">
        <v>21</v>
      </c>
      <c r="H39" s="112" t="s">
        <v>22</v>
      </c>
      <c r="L39" s="20"/>
      <c r="M39" s="41"/>
      <c r="N39" s="19"/>
    </row>
    <row r="40" customFormat="false" ht="15" hidden="false" customHeight="false" outlineLevel="0" collapsed="false">
      <c r="A40" s="30" t="n">
        <v>1</v>
      </c>
      <c r="B40" s="30" t="str">
        <f aca="false">$A$37</f>
        <v>EXCAVATION</v>
      </c>
      <c r="C40" s="32" t="s">
        <v>67</v>
      </c>
      <c r="D40" s="30" t="n">
        <v>1</v>
      </c>
      <c r="E40" s="30" t="n">
        <v>26.75</v>
      </c>
      <c r="F40" s="30" t="n">
        <v>31</v>
      </c>
      <c r="G40" s="30" t="n">
        <v>0.35</v>
      </c>
      <c r="H40" s="33" t="n">
        <f aca="false">D40*E40*F40*G40</f>
        <v>290.2375</v>
      </c>
      <c r="I40" s="34"/>
      <c r="J40" s="35"/>
      <c r="L40" s="20"/>
      <c r="M40" s="41"/>
      <c r="N40" s="19"/>
    </row>
    <row r="41" customFormat="false" ht="15" hidden="false" customHeight="false" outlineLevel="0" collapsed="false">
      <c r="A41" s="20"/>
      <c r="B41" s="20"/>
      <c r="C41" s="39"/>
      <c r="D41" s="20"/>
      <c r="E41" s="21"/>
      <c r="F41" s="21"/>
      <c r="G41" s="20"/>
      <c r="H41" s="40"/>
      <c r="I41" s="34"/>
      <c r="J41" s="35"/>
      <c r="L41" s="17"/>
      <c r="M41" s="18"/>
      <c r="N41" s="19"/>
    </row>
    <row r="42" customFormat="false" ht="15" hidden="false" customHeight="false" outlineLevel="0" collapsed="false">
      <c r="A42" s="20"/>
      <c r="B42" s="20"/>
      <c r="C42" s="39"/>
      <c r="D42" s="20"/>
      <c r="E42" s="20"/>
      <c r="F42" s="20"/>
      <c r="G42" s="20"/>
      <c r="H42" s="40"/>
      <c r="I42" s="34"/>
      <c r="J42" s="35"/>
      <c r="L42" s="20"/>
      <c r="M42" s="41"/>
      <c r="N42" s="19"/>
    </row>
    <row r="43" customFormat="false" ht="15" hidden="false" customHeight="false" outlineLevel="0" collapsed="false">
      <c r="A43" s="20"/>
      <c r="B43" s="20"/>
      <c r="C43" s="39"/>
      <c r="D43" s="20"/>
      <c r="E43" s="14"/>
      <c r="F43" s="14"/>
      <c r="G43" s="20"/>
      <c r="H43" s="40"/>
      <c r="L43" s="20"/>
      <c r="M43" s="41"/>
      <c r="N43" s="19"/>
    </row>
    <row r="44" customFormat="false" ht="15" hidden="false" customHeight="false" outlineLevel="0" collapsed="false">
      <c r="A44" s="96"/>
      <c r="B44" s="96"/>
      <c r="C44" s="97"/>
      <c r="D44" s="96"/>
      <c r="E44" s="114"/>
      <c r="F44" s="114"/>
      <c r="G44" s="115"/>
      <c r="H44" s="116"/>
      <c r="L44" s="20"/>
      <c r="M44" s="41"/>
      <c r="N44" s="19"/>
    </row>
    <row r="45" s="46" customFormat="true" ht="15" hidden="false" customHeight="false" outlineLevel="0" collapsed="false">
      <c r="A45" s="96"/>
      <c r="B45" s="96"/>
      <c r="C45" s="97"/>
      <c r="D45" s="96"/>
      <c r="E45" s="115"/>
      <c r="F45" s="115"/>
      <c r="G45" s="115"/>
      <c r="H45" s="116"/>
      <c r="J45" s="47"/>
      <c r="K45" s="47"/>
      <c r="L45" s="21"/>
      <c r="M45" s="44"/>
      <c r="N45" s="45"/>
    </row>
    <row r="46" customFormat="false" ht="15" hidden="false" customHeight="false" outlineLevel="0" collapsed="false">
      <c r="A46" s="96"/>
      <c r="B46" s="117"/>
      <c r="C46" s="118"/>
      <c r="D46" s="96"/>
      <c r="E46" s="96"/>
      <c r="F46" s="96"/>
      <c r="G46" s="116"/>
      <c r="H46" s="116"/>
      <c r="L46" s="20"/>
      <c r="M46" s="49"/>
      <c r="N46" s="19"/>
    </row>
    <row r="47" customFormat="false" ht="15" hidden="false" customHeight="false" outlineLevel="0" collapsed="false">
      <c r="A47" s="96"/>
      <c r="B47" s="96"/>
      <c r="C47" s="119"/>
      <c r="D47" s="96"/>
      <c r="E47" s="120"/>
      <c r="F47" s="120"/>
      <c r="G47" s="120"/>
      <c r="H47" s="121"/>
      <c r="L47" s="20"/>
      <c r="M47" s="41"/>
      <c r="N47" s="19"/>
    </row>
    <row r="48" customFormat="false" ht="15" hidden="false" customHeight="false" outlineLevel="0" collapsed="false">
      <c r="A48" s="117"/>
      <c r="B48" s="117"/>
      <c r="C48" s="122"/>
      <c r="D48" s="117"/>
      <c r="E48" s="123"/>
      <c r="F48" s="123"/>
      <c r="G48" s="123"/>
      <c r="H48" s="124"/>
      <c r="I48" s="56" t="n">
        <f aca="false">SUM(H40:H47)*1.1</f>
        <v>319.26125</v>
      </c>
      <c r="J48" s="57" t="s">
        <v>28</v>
      </c>
      <c r="K48" s="58"/>
      <c r="L48" s="20"/>
      <c r="M48" s="49"/>
      <c r="N48" s="45"/>
    </row>
    <row r="49" customFormat="false" ht="15" hidden="false" customHeight="false" outlineLevel="0" collapsed="false">
      <c r="A49" s="117"/>
      <c r="B49" s="117"/>
      <c r="C49" s="122"/>
      <c r="D49" s="117"/>
      <c r="E49" s="123"/>
      <c r="F49" s="123"/>
      <c r="G49" s="123"/>
      <c r="H49" s="124"/>
      <c r="I49" s="60"/>
      <c r="J49" s="58"/>
      <c r="K49" s="58"/>
    </row>
    <row r="50" customFormat="false" ht="15.75" hidden="false" customHeight="false" outlineLevel="0" collapsed="false">
      <c r="A50" s="61" t="s">
        <v>65</v>
      </c>
      <c r="B50" s="62"/>
      <c r="C50" s="62"/>
      <c r="D50" s="62"/>
      <c r="E50" s="62"/>
      <c r="F50" s="62"/>
      <c r="G50" s="62"/>
      <c r="H50" s="63"/>
      <c r="L50" s="9"/>
      <c r="M50" s="64"/>
      <c r="N50" s="9"/>
    </row>
    <row r="51" customFormat="false" ht="15" hidden="false" customHeight="false" outlineLevel="0" collapsed="false">
      <c r="A51" s="19" t="s">
        <v>15</v>
      </c>
      <c r="B51" s="19"/>
      <c r="C51" s="19" t="s">
        <v>4</v>
      </c>
      <c r="D51" s="19" t="s">
        <v>16</v>
      </c>
      <c r="E51" s="19" t="s">
        <v>29</v>
      </c>
      <c r="F51" s="19" t="s">
        <v>30</v>
      </c>
      <c r="G51" s="19" t="s">
        <v>19</v>
      </c>
      <c r="H51" s="19" t="s">
        <v>20</v>
      </c>
      <c r="L51" s="9"/>
      <c r="M51" s="64"/>
      <c r="N51" s="9"/>
    </row>
    <row r="52" customFormat="false" ht="15" hidden="false" customHeight="false" outlineLevel="0" collapsed="false">
      <c r="A52" s="19"/>
      <c r="B52" s="30" t="str">
        <f aca="false">$A$50</f>
        <v>STONE SOLING</v>
      </c>
      <c r="C52" s="19"/>
      <c r="D52" s="19"/>
      <c r="E52" s="19" t="s">
        <v>21</v>
      </c>
      <c r="F52" s="19" t="s">
        <v>21</v>
      </c>
      <c r="G52" s="19" t="s">
        <v>21</v>
      </c>
      <c r="H52" s="19" t="s">
        <v>22</v>
      </c>
      <c r="L52" s="9"/>
    </row>
    <row r="53" customFormat="false" ht="15" hidden="false" customHeight="false" outlineLevel="0" collapsed="false">
      <c r="A53" s="30" t="n">
        <v>1</v>
      </c>
      <c r="B53" s="30" t="str">
        <f aca="false">$A$50</f>
        <v>STONE SOLING</v>
      </c>
      <c r="C53" s="32" t="s">
        <v>67</v>
      </c>
      <c r="D53" s="77" t="n">
        <f aca="false">D40</f>
        <v>1</v>
      </c>
      <c r="E53" s="77" t="n">
        <f aca="false">E40</f>
        <v>26.75</v>
      </c>
      <c r="F53" s="77" t="n">
        <f aca="false">F40</f>
        <v>31</v>
      </c>
      <c r="G53" s="30" t="n">
        <v>0.15</v>
      </c>
      <c r="H53" s="33" t="n">
        <f aca="false">D53*E53*F53*G53</f>
        <v>124.3875</v>
      </c>
      <c r="J53" s="54"/>
      <c r="K53" s="54"/>
      <c r="L53" s="55"/>
    </row>
    <row r="54" customFormat="false" ht="15" hidden="false" customHeight="false" outlineLevel="0" collapsed="false">
      <c r="A54" s="20"/>
      <c r="B54" s="20"/>
      <c r="C54" s="39"/>
      <c r="D54" s="21"/>
      <c r="E54" s="21"/>
      <c r="F54" s="21"/>
      <c r="G54" s="20"/>
      <c r="H54" s="40"/>
      <c r="J54" s="54"/>
      <c r="K54" s="54"/>
      <c r="L54" s="55"/>
    </row>
    <row r="55" customFormat="false" ht="15" hidden="false" customHeight="false" outlineLevel="0" collapsed="false">
      <c r="A55" s="20" t="s">
        <v>68</v>
      </c>
      <c r="B55" s="20"/>
      <c r="C55" s="39"/>
      <c r="D55" s="21"/>
      <c r="E55" s="21"/>
      <c r="F55" s="21"/>
      <c r="G55" s="20"/>
      <c r="H55" s="40"/>
      <c r="J55" s="54"/>
      <c r="K55" s="54"/>
      <c r="L55" s="55"/>
    </row>
    <row r="56" customFormat="false" ht="15" hidden="false" customHeight="false" outlineLevel="0" collapsed="false">
      <c r="A56" s="20"/>
      <c r="B56" s="20"/>
      <c r="C56" s="39"/>
      <c r="D56" s="21"/>
      <c r="E56" s="21"/>
      <c r="F56" s="21"/>
      <c r="G56" s="20"/>
      <c r="H56" s="40"/>
      <c r="J56" s="54"/>
      <c r="K56" s="54"/>
      <c r="L56" s="55"/>
    </row>
    <row r="57" customFormat="false" ht="15" hidden="false" customHeight="false" outlineLevel="0" collapsed="false">
      <c r="A57" s="96"/>
      <c r="B57" s="96"/>
      <c r="C57" s="97"/>
      <c r="D57" s="115"/>
      <c r="E57" s="115"/>
      <c r="F57" s="115"/>
      <c r="G57" s="96"/>
      <c r="H57" s="116"/>
      <c r="J57" s="54"/>
      <c r="K57" s="54"/>
      <c r="L57" s="55"/>
    </row>
    <row r="58" customFormat="false" ht="15" hidden="false" customHeight="false" outlineLevel="0" collapsed="false">
      <c r="A58" s="9"/>
      <c r="B58" s="9"/>
      <c r="C58" s="53"/>
      <c r="D58" s="9"/>
      <c r="E58" s="54"/>
      <c r="F58" s="54"/>
      <c r="G58" s="54"/>
      <c r="H58" s="55"/>
      <c r="I58" s="56" t="n">
        <f aca="false">SUM(H53:H57)*1.1</f>
        <v>136.82625</v>
      </c>
      <c r="J58" s="57" t="str">
        <f aca="false">A50</f>
        <v>STONE SOLING</v>
      </c>
    </row>
    <row r="59" customFormat="false" ht="15" hidden="false" customHeight="false" outlineLevel="0" collapsed="false">
      <c r="A59" s="9"/>
      <c r="B59" s="9"/>
      <c r="C59" s="53"/>
      <c r="D59" s="9"/>
      <c r="E59" s="54"/>
      <c r="F59" s="54"/>
      <c r="G59" s="54"/>
      <c r="H59" s="55"/>
      <c r="I59" s="54"/>
      <c r="J59" s="54"/>
    </row>
    <row r="60" customFormat="false" ht="15.75" hidden="false" customHeight="false" outlineLevel="0" collapsed="false">
      <c r="A60" s="61" t="s">
        <v>69</v>
      </c>
      <c r="B60" s="62"/>
      <c r="C60" s="62"/>
      <c r="D60" s="62"/>
      <c r="E60" s="62"/>
      <c r="F60" s="62"/>
      <c r="G60" s="62"/>
      <c r="H60" s="63"/>
    </row>
    <row r="61" customFormat="false" ht="15" hidden="false" customHeight="false" outlineLevel="0" collapsed="false">
      <c r="A61" s="19" t="s">
        <v>15</v>
      </c>
      <c r="B61" s="19"/>
      <c r="C61" s="19" t="s">
        <v>4</v>
      </c>
      <c r="D61" s="19" t="s">
        <v>16</v>
      </c>
      <c r="E61" s="19" t="s">
        <v>29</v>
      </c>
      <c r="F61" s="19" t="s">
        <v>30</v>
      </c>
      <c r="G61" s="19" t="s">
        <v>19</v>
      </c>
      <c r="H61" s="19" t="s">
        <v>20</v>
      </c>
    </row>
    <row r="62" customFormat="false" ht="15" hidden="false" customHeight="false" outlineLevel="0" collapsed="false">
      <c r="A62" s="19"/>
      <c r="B62" s="30" t="s">
        <v>8</v>
      </c>
      <c r="C62" s="19"/>
      <c r="D62" s="19"/>
      <c r="E62" s="19" t="s">
        <v>21</v>
      </c>
      <c r="F62" s="19" t="s">
        <v>21</v>
      </c>
      <c r="G62" s="19" t="s">
        <v>21</v>
      </c>
      <c r="H62" s="19" t="s">
        <v>22</v>
      </c>
    </row>
    <row r="63" customFormat="false" ht="15" hidden="false" customHeight="false" outlineLevel="0" collapsed="false">
      <c r="A63" s="30" t="n">
        <v>1</v>
      </c>
      <c r="B63" s="30" t="s">
        <v>8</v>
      </c>
      <c r="C63" s="32" t="s">
        <v>67</v>
      </c>
      <c r="D63" s="77" t="n">
        <v>1</v>
      </c>
      <c r="E63" s="77" t="n">
        <f aca="false">E53</f>
        <v>26.75</v>
      </c>
      <c r="F63" s="77" t="n">
        <f aca="false">F53</f>
        <v>31</v>
      </c>
      <c r="G63" s="30" t="n">
        <v>0.05</v>
      </c>
      <c r="H63" s="33" t="n">
        <f aca="false">D63*E63*F63*G63</f>
        <v>41.4625</v>
      </c>
      <c r="J63" s="54"/>
    </row>
    <row r="64" customFormat="false" ht="15" hidden="false" customHeight="false" outlineLevel="0" collapsed="false">
      <c r="A64" s="20"/>
      <c r="B64" s="20"/>
      <c r="C64" s="39"/>
      <c r="D64" s="21"/>
      <c r="E64" s="21"/>
      <c r="F64" s="21"/>
      <c r="G64" s="20"/>
      <c r="H64" s="40"/>
      <c r="J64" s="54"/>
    </row>
    <row r="65" customFormat="false" ht="15" hidden="false" customHeight="false" outlineLevel="0" collapsed="false">
      <c r="A65" s="20"/>
      <c r="B65" s="20"/>
      <c r="C65" s="39"/>
      <c r="D65" s="21"/>
      <c r="E65" s="21"/>
      <c r="F65" s="21"/>
      <c r="G65" s="20"/>
      <c r="H65" s="40"/>
      <c r="J65" s="54"/>
    </row>
    <row r="66" customFormat="false" ht="15" hidden="false" customHeight="false" outlineLevel="0" collapsed="false">
      <c r="A66" s="20"/>
      <c r="B66" s="20"/>
      <c r="C66" s="39"/>
      <c r="D66" s="21"/>
      <c r="E66" s="21"/>
      <c r="F66" s="21"/>
      <c r="G66" s="20"/>
      <c r="H66" s="40"/>
      <c r="J66" s="54"/>
    </row>
    <row r="67" customFormat="false" ht="15" hidden="false" customHeight="false" outlineLevel="0" collapsed="false">
      <c r="A67" s="96"/>
      <c r="B67" s="96"/>
      <c r="C67" s="97"/>
      <c r="D67" s="115"/>
      <c r="E67" s="115"/>
      <c r="F67" s="115"/>
      <c r="G67" s="96"/>
      <c r="H67" s="116"/>
      <c r="J67" s="54"/>
    </row>
    <row r="68" customFormat="false" ht="15" hidden="false" customHeight="false" outlineLevel="0" collapsed="false">
      <c r="A68" s="9"/>
      <c r="B68" s="9"/>
      <c r="C68" s="53"/>
      <c r="D68" s="9"/>
      <c r="E68" s="54"/>
      <c r="F68" s="54"/>
      <c r="G68" s="54"/>
      <c r="H68" s="55"/>
      <c r="I68" s="56" t="n">
        <f aca="false">SUM(H63:H67)*1.1</f>
        <v>45.60875</v>
      </c>
      <c r="J68" s="57" t="str">
        <f aca="false">A60</f>
        <v>CC1:4:8</v>
      </c>
    </row>
    <row r="69" customFormat="false" ht="15" hidden="false" customHeight="false" outlineLevel="0" collapsed="false">
      <c r="A69" s="9"/>
      <c r="B69" s="9"/>
      <c r="C69" s="53"/>
      <c r="D69" s="9"/>
      <c r="E69" s="54"/>
      <c r="F69" s="54"/>
      <c r="G69" s="54"/>
      <c r="H69" s="55"/>
      <c r="I69" s="74"/>
      <c r="J69" s="58"/>
      <c r="K69" s="58"/>
      <c r="M69" s="58"/>
    </row>
    <row r="70" customFormat="false" ht="15.75" hidden="false" customHeight="false" outlineLevel="0" collapsed="false">
      <c r="A70" s="61" t="s">
        <v>64</v>
      </c>
      <c r="B70" s="62"/>
      <c r="C70" s="62"/>
      <c r="D70" s="62"/>
      <c r="E70" s="62"/>
      <c r="F70" s="62"/>
      <c r="G70" s="62"/>
      <c r="H70" s="63"/>
      <c r="I70" s="54"/>
    </row>
    <row r="71" customFormat="false" ht="15" hidden="false" customHeight="false" outlineLevel="0" collapsed="false">
      <c r="A71" s="19" t="s">
        <v>15</v>
      </c>
      <c r="B71" s="19"/>
      <c r="C71" s="19" t="s">
        <v>4</v>
      </c>
      <c r="D71" s="19" t="s">
        <v>16</v>
      </c>
      <c r="E71" s="19" t="s">
        <v>29</v>
      </c>
      <c r="F71" s="19" t="s">
        <v>30</v>
      </c>
      <c r="G71" s="19" t="s">
        <v>19</v>
      </c>
      <c r="H71" s="19" t="s">
        <v>20</v>
      </c>
      <c r="I71" s="54"/>
    </row>
    <row r="72" customFormat="false" ht="15" hidden="false" customHeight="false" outlineLevel="0" collapsed="false">
      <c r="A72" s="19"/>
      <c r="B72" s="20" t="s">
        <v>64</v>
      </c>
      <c r="C72" s="125" t="s">
        <v>70</v>
      </c>
      <c r="D72" s="45"/>
      <c r="E72" s="45" t="s">
        <v>21</v>
      </c>
      <c r="F72" s="45" t="s">
        <v>21</v>
      </c>
      <c r="G72" s="45" t="s">
        <v>21</v>
      </c>
      <c r="H72" s="45" t="s">
        <v>22</v>
      </c>
      <c r="I72" s="54"/>
    </row>
    <row r="73" customFormat="false" ht="15" hidden="false" customHeight="false" outlineLevel="0" collapsed="false">
      <c r="A73" s="30" t="n">
        <v>1</v>
      </c>
      <c r="B73" s="20" t="s">
        <v>64</v>
      </c>
      <c r="C73" s="32" t="s">
        <v>67</v>
      </c>
      <c r="D73" s="77" t="n">
        <f aca="false">D40</f>
        <v>1</v>
      </c>
      <c r="E73" s="67" t="n">
        <f aca="false">E53</f>
        <v>26.75</v>
      </c>
      <c r="F73" s="126" t="n">
        <f aca="false">F53</f>
        <v>31</v>
      </c>
      <c r="G73" s="67" t="n">
        <f aca="false">G53</f>
        <v>0.15</v>
      </c>
      <c r="H73" s="33" t="n">
        <f aca="false">D73*E73*F73*G73</f>
        <v>124.3875</v>
      </c>
      <c r="I73" s="54"/>
    </row>
    <row r="74" customFormat="false" ht="15" hidden="false" customHeight="false" outlineLevel="0" collapsed="false">
      <c r="A74" s="96"/>
      <c r="B74" s="96"/>
      <c r="C74" s="127"/>
      <c r="D74" s="115"/>
      <c r="E74" s="96"/>
      <c r="F74" s="96"/>
      <c r="G74" s="96"/>
      <c r="H74" s="128"/>
      <c r="I74" s="54"/>
    </row>
    <row r="75" customFormat="false" ht="15" hidden="false" customHeight="false" outlineLevel="0" collapsed="false">
      <c r="A75" s="9"/>
      <c r="B75" s="9"/>
      <c r="C75" s="53"/>
      <c r="D75" s="9"/>
      <c r="E75" s="54"/>
      <c r="F75" s="54"/>
      <c r="G75" s="54"/>
      <c r="H75" s="55"/>
      <c r="I75" s="72" t="n">
        <f aca="false">SUM(H73:H74)*1.1</f>
        <v>136.82625</v>
      </c>
      <c r="J75" s="73" t="s">
        <v>10</v>
      </c>
      <c r="K75" s="58"/>
    </row>
    <row r="76" customFormat="false" ht="15" hidden="false" customHeight="false" outlineLevel="0" collapsed="false">
      <c r="A76" s="9"/>
      <c r="B76" s="9"/>
      <c r="C76" s="53"/>
      <c r="D76" s="9"/>
      <c r="E76" s="54"/>
      <c r="F76" s="54"/>
      <c r="G76" s="54"/>
      <c r="H76" s="55"/>
      <c r="I76" s="74"/>
      <c r="J76" s="58"/>
      <c r="K76" s="58"/>
    </row>
    <row r="77" customFormat="false" ht="15" hidden="false" customHeight="false" outlineLevel="0" collapsed="false">
      <c r="A77" s="83"/>
      <c r="B77" s="83"/>
      <c r="C77" s="84"/>
      <c r="D77" s="83"/>
      <c r="E77" s="85"/>
      <c r="F77" s="85"/>
      <c r="G77" s="83"/>
      <c r="H77" s="83"/>
      <c r="I77" s="129"/>
      <c r="J77" s="130"/>
      <c r="K77" s="58"/>
    </row>
    <row r="78" customFormat="false" ht="15.75" hidden="false" customHeight="false" outlineLevel="0" collapsed="false">
      <c r="A78" s="61" t="s">
        <v>12</v>
      </c>
      <c r="B78" s="62"/>
      <c r="C78" s="62"/>
      <c r="D78" s="62"/>
      <c r="E78" s="62"/>
      <c r="F78" s="62"/>
      <c r="G78" s="62"/>
      <c r="H78" s="63"/>
    </row>
    <row r="79" customFormat="false" ht="15" hidden="false" customHeight="false" outlineLevel="0" collapsed="false">
      <c r="A79" s="19" t="s">
        <v>15</v>
      </c>
      <c r="B79" s="19"/>
      <c r="C79" s="19" t="s">
        <v>4</v>
      </c>
      <c r="D79" s="19" t="s">
        <v>16</v>
      </c>
      <c r="E79" s="19" t="s">
        <v>33</v>
      </c>
      <c r="F79" s="19" t="s">
        <v>34</v>
      </c>
      <c r="G79" s="19" t="s">
        <v>35</v>
      </c>
      <c r="H79" s="19" t="s">
        <v>35</v>
      </c>
    </row>
    <row r="80" customFormat="false" ht="15" hidden="false" customHeight="false" outlineLevel="0" collapsed="false">
      <c r="A80" s="19"/>
      <c r="B80" s="30" t="s">
        <v>12</v>
      </c>
      <c r="C80" s="19"/>
      <c r="D80" s="19"/>
      <c r="E80" s="19" t="s">
        <v>36</v>
      </c>
      <c r="F80" s="19" t="s">
        <v>37</v>
      </c>
      <c r="G80" s="19" t="s">
        <v>38</v>
      </c>
      <c r="H80" s="45" t="s">
        <v>39</v>
      </c>
    </row>
    <row r="81" customFormat="false" ht="15" hidden="false" customHeight="false" outlineLevel="0" collapsed="false">
      <c r="A81" s="19"/>
      <c r="B81" s="19"/>
      <c r="C81" s="50" t="s">
        <v>12</v>
      </c>
      <c r="D81" s="19"/>
      <c r="E81" s="19"/>
      <c r="F81" s="19"/>
      <c r="G81" s="19"/>
      <c r="H81" s="19"/>
    </row>
    <row r="82" customFormat="false" ht="15" hidden="false" customHeight="false" outlineLevel="0" collapsed="false">
      <c r="A82" s="30" t="n">
        <v>1</v>
      </c>
      <c r="B82" s="30" t="s">
        <v>12</v>
      </c>
      <c r="C82" s="32" t="s">
        <v>67</v>
      </c>
      <c r="D82" s="30"/>
      <c r="E82" s="87" t="n">
        <f aca="false">I75</f>
        <v>136.82625</v>
      </c>
      <c r="F82" s="30" t="n">
        <v>75</v>
      </c>
      <c r="G82" s="30" t="n">
        <f aca="false">E82*F82</f>
        <v>10261.96875</v>
      </c>
      <c r="H82" s="30" t="n">
        <f aca="false">G82/1000</f>
        <v>10.26196875</v>
      </c>
      <c r="I82" s="88"/>
      <c r="J82" s="88"/>
    </row>
    <row r="83" customFormat="false" ht="15" hidden="false" customHeight="false" outlineLevel="0" collapsed="false">
      <c r="A83" s="19"/>
      <c r="B83" s="19"/>
      <c r="C83" s="51"/>
      <c r="D83" s="19"/>
      <c r="E83" s="89"/>
      <c r="F83" s="19"/>
      <c r="G83" s="19"/>
      <c r="H83" s="19"/>
      <c r="I83" s="88"/>
      <c r="J83" s="88"/>
    </row>
    <row r="84" customFormat="false" ht="15" hidden="false" customHeight="false" outlineLevel="0" collapsed="false">
      <c r="A84" s="51"/>
      <c r="B84" s="51"/>
      <c r="C84" s="51"/>
      <c r="D84" s="17" t="s">
        <v>41</v>
      </c>
      <c r="E84" s="90" t="n">
        <f aca="false">SUM(E82:E83)</f>
        <v>136.82625</v>
      </c>
      <c r="F84" s="19"/>
      <c r="G84" s="17" t="n">
        <f aca="false">SUM(G82:G83)</f>
        <v>10261.96875</v>
      </c>
      <c r="H84" s="17" t="n">
        <f aca="false">SUM(H82:H83)</f>
        <v>10.26196875</v>
      </c>
      <c r="I84" s="91" t="n">
        <f aca="false">H84*1.1</f>
        <v>11.288165625</v>
      </c>
      <c r="J84" s="82" t="s">
        <v>42</v>
      </c>
    </row>
    <row r="85" customFormat="false" ht="15" hidden="false" customHeight="false" outlineLevel="0" collapsed="false">
      <c r="A85" s="54"/>
      <c r="B85" s="54"/>
      <c r="C85" s="54"/>
      <c r="D85" s="54"/>
      <c r="E85" s="54"/>
      <c r="F85" s="92" t="s">
        <v>43</v>
      </c>
      <c r="G85" s="92" t="n">
        <f aca="false">H84*1000/E84</f>
        <v>75</v>
      </c>
      <c r="H85" s="54"/>
    </row>
    <row r="86" customFormat="false" ht="15" hidden="false" customHeight="false" outlineLevel="0" collapsed="false">
      <c r="A86" s="9"/>
      <c r="B86" s="9"/>
      <c r="C86" s="9"/>
      <c r="D86" s="9"/>
      <c r="E86" s="9"/>
      <c r="F86" s="9"/>
      <c r="G86" s="9"/>
      <c r="H86" s="9"/>
      <c r="I86" s="9"/>
      <c r="J86" s="88"/>
    </row>
    <row r="87" customFormat="false" ht="15.75" hidden="false" customHeight="false" outlineLevel="0" collapsed="false">
      <c r="A87" s="61" t="s">
        <v>71</v>
      </c>
      <c r="B87" s="62"/>
      <c r="C87" s="62"/>
      <c r="D87" s="62"/>
      <c r="E87" s="62"/>
      <c r="F87" s="62"/>
      <c r="G87" s="62"/>
      <c r="H87" s="63"/>
      <c r="I87" s="88"/>
      <c r="J87" s="88"/>
    </row>
    <row r="88" customFormat="false" ht="15" hidden="false" customHeight="false" outlineLevel="0" collapsed="false">
      <c r="A88" s="19" t="s">
        <v>15</v>
      </c>
      <c r="B88" s="19"/>
      <c r="C88" s="19" t="s">
        <v>4</v>
      </c>
      <c r="D88" s="19" t="s">
        <v>16</v>
      </c>
      <c r="E88" s="19" t="s">
        <v>29</v>
      </c>
      <c r="F88" s="19" t="s">
        <v>30</v>
      </c>
      <c r="G88" s="19" t="s">
        <v>19</v>
      </c>
      <c r="H88" s="19" t="s">
        <v>20</v>
      </c>
      <c r="I88" s="88"/>
      <c r="J88" s="88"/>
    </row>
    <row r="89" customFormat="false" ht="15" hidden="false" customHeight="false" outlineLevel="0" collapsed="false">
      <c r="A89" s="19"/>
      <c r="B89" s="30" t="s">
        <v>66</v>
      </c>
      <c r="C89" s="19"/>
      <c r="D89" s="19"/>
      <c r="E89" s="19" t="s">
        <v>21</v>
      </c>
      <c r="F89" s="19" t="s">
        <v>21</v>
      </c>
      <c r="G89" s="19" t="s">
        <v>21</v>
      </c>
      <c r="H89" s="19" t="s">
        <v>72</v>
      </c>
      <c r="I89" s="88"/>
      <c r="J89" s="88"/>
    </row>
    <row r="90" customFormat="false" ht="15" hidden="false" customHeight="false" outlineLevel="0" collapsed="false">
      <c r="A90" s="30" t="n">
        <v>1</v>
      </c>
      <c r="B90" s="30" t="s">
        <v>66</v>
      </c>
      <c r="C90" s="32" t="s">
        <v>67</v>
      </c>
      <c r="D90" s="131" t="n">
        <v>6</v>
      </c>
      <c r="E90" s="132" t="n">
        <f aca="false">2*0.8+2*3</f>
        <v>7.6</v>
      </c>
      <c r="F90" s="133"/>
      <c r="G90" s="30"/>
      <c r="H90" s="93" t="n">
        <f aca="false">D90*E90</f>
        <v>45.6</v>
      </c>
      <c r="I90" s="88"/>
      <c r="J90" s="88"/>
    </row>
    <row r="91" customFormat="false" ht="15" hidden="false" customHeight="false" outlineLevel="0" collapsed="false">
      <c r="A91" s="20"/>
      <c r="B91" s="20"/>
      <c r="C91" s="39"/>
      <c r="D91" s="134"/>
      <c r="E91" s="135"/>
      <c r="F91" s="136"/>
      <c r="G91" s="20"/>
      <c r="H91" s="48"/>
      <c r="I91" s="88"/>
      <c r="J91" s="88"/>
    </row>
    <row r="92" customFormat="false" ht="15" hidden="false" customHeight="false" outlineLevel="0" collapsed="false">
      <c r="A92" s="20"/>
      <c r="B92" s="20"/>
      <c r="C92" s="39"/>
      <c r="D92" s="134"/>
      <c r="E92" s="136"/>
      <c r="F92" s="69"/>
      <c r="G92" s="20"/>
      <c r="H92" s="48"/>
      <c r="I92" s="88"/>
      <c r="J92" s="88"/>
    </row>
    <row r="93" customFormat="false" ht="15" hidden="false" customHeight="false" outlineLevel="0" collapsed="false">
      <c r="A93" s="20"/>
      <c r="B93" s="20"/>
      <c r="C93" s="39"/>
      <c r="D93" s="134"/>
      <c r="E93" s="135"/>
      <c r="F93" s="135"/>
      <c r="G93" s="20"/>
      <c r="H93" s="48"/>
      <c r="I93" s="88"/>
      <c r="J93" s="88"/>
    </row>
    <row r="94" customFormat="false" ht="15" hidden="false" customHeight="false" outlineLevel="0" collapsed="false">
      <c r="A94" s="96"/>
      <c r="B94" s="96"/>
      <c r="C94" s="97"/>
      <c r="D94" s="96"/>
      <c r="E94" s="96"/>
      <c r="F94" s="96"/>
      <c r="G94" s="96"/>
      <c r="H94" s="98"/>
      <c r="I94" s="91" t="n">
        <f aca="false">SUM(H90:H94)*1.1</f>
        <v>50.16</v>
      </c>
      <c r="J94" s="82" t="str">
        <f aca="false">A87</f>
        <v>ISOTATION JOINT</v>
      </c>
    </row>
    <row r="95" customFormat="false" ht="15" hidden="false" customHeight="false" outlineLevel="0" collapsed="false">
      <c r="A95" s="88"/>
      <c r="B95" s="88"/>
      <c r="C95" s="88"/>
      <c r="D95" s="88"/>
      <c r="E95" s="88"/>
      <c r="F95" s="88"/>
      <c r="G95" s="88"/>
      <c r="H95" s="88"/>
      <c r="I95" s="88"/>
      <c r="J95" s="88"/>
    </row>
    <row r="96" customFormat="false" ht="15" hidden="false" customHeight="false" outlineLevel="0" collapsed="false">
      <c r="C96" s="123"/>
      <c r="D96" s="123"/>
      <c r="E96" s="137"/>
      <c r="F96" s="137"/>
    </row>
  </sheetData>
  <mergeCells count="5">
    <mergeCell ref="A1:H1"/>
    <mergeCell ref="A2:H2"/>
    <mergeCell ref="A3:H3"/>
    <mergeCell ref="C6:E6"/>
    <mergeCell ref="L38:N3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7" activeCellId="0" sqref="C27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29.57"/>
    <col collapsed="false" customWidth="true" hidden="false" outlineLevel="0" max="3" min="3" style="1" width="37.86"/>
    <col collapsed="false" customWidth="true" hidden="false" outlineLevel="0" max="5" min="4" style="1" width="9.29"/>
    <col collapsed="false" customWidth="true" hidden="false" outlineLevel="0" max="6" min="6" style="1" width="11.99"/>
    <col collapsed="false" customWidth="true" hidden="false" outlineLevel="0" max="8" min="7" style="1" width="9.29"/>
    <col collapsed="false" customWidth="true" hidden="false" outlineLevel="0" max="9" min="9" style="1" width="10.85"/>
    <col collapsed="false" customWidth="true" hidden="false" outlineLevel="0" max="10" min="10" style="1" width="21.57"/>
    <col collapsed="false" customWidth="true" hidden="false" outlineLevel="0" max="11" min="11" style="1" width="2.99"/>
    <col collapsed="false" customWidth="true" hidden="false" outlineLevel="0" max="12" min="12" style="1" width="29.71"/>
    <col collapsed="false" customWidth="true" hidden="false" outlineLevel="0" max="13" min="13" style="1" width="9.42"/>
    <col collapsed="false" customWidth="false" hidden="false" outlineLevel="0" max="1024" min="14" style="1" width="9.14"/>
  </cols>
  <sheetData>
    <row r="1" customFormat="fals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</row>
    <row r="2" customFormat="false" ht="21" hidden="false" customHeight="false" outlineLevel="0" collapsed="false">
      <c r="A2" s="5" t="s">
        <v>73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customFormat="false" ht="15" hidden="false" customHeight="false" outlineLevel="0" collapsed="false">
      <c r="A3" s="8" t="s">
        <v>74</v>
      </c>
      <c r="B3" s="8"/>
      <c r="C3" s="8"/>
      <c r="D3" s="8"/>
      <c r="E3" s="8"/>
      <c r="F3" s="8"/>
      <c r="G3" s="8"/>
      <c r="H3" s="8"/>
    </row>
    <row r="4" customFormat="false" ht="15" hidden="false" customHeight="false" outlineLevel="0" collapsed="false">
      <c r="A4" s="9"/>
      <c r="B4" s="9"/>
      <c r="C4" s="9"/>
      <c r="D4" s="9"/>
      <c r="E4" s="9"/>
      <c r="F4" s="9"/>
      <c r="G4" s="9"/>
      <c r="H4" s="9"/>
    </row>
    <row r="5" customFormat="false" ht="15" hidden="false" customHeight="false" outlineLevel="0" collapsed="false">
      <c r="A5" s="9"/>
      <c r="B5" s="9"/>
      <c r="F5" s="9"/>
      <c r="G5" s="9"/>
      <c r="H5" s="9"/>
    </row>
    <row r="6" customFormat="false" ht="15" hidden="false" customHeight="false" outlineLevel="0" collapsed="false">
      <c r="A6" s="9"/>
      <c r="B6" s="9"/>
      <c r="C6" s="17" t="s">
        <v>75</v>
      </c>
      <c r="D6" s="17"/>
      <c r="E6" s="17"/>
      <c r="F6" s="9"/>
      <c r="G6" s="9"/>
      <c r="H6" s="9"/>
    </row>
    <row r="7" customFormat="false" ht="15" hidden="false" customHeight="false" outlineLevel="0" collapsed="false">
      <c r="A7" s="9"/>
      <c r="B7" s="9"/>
      <c r="C7" s="14" t="s">
        <v>7</v>
      </c>
      <c r="D7" s="15" t="n">
        <f aca="false">SUMIF($B$34:$B$144,C7,$H$34:$H$144)*1.1</f>
        <v>74.6972875</v>
      </c>
      <c r="E7" s="16" t="str">
        <f aca="false">INDEX($H$34:$H$145,MATCH(C7,$B$34:$B$145,0))</f>
        <v>(cu-m)</v>
      </c>
      <c r="F7" s="9"/>
      <c r="G7" s="9"/>
      <c r="H7" s="9"/>
    </row>
    <row r="8" customFormat="false" ht="15" hidden="false" customHeight="false" outlineLevel="0" collapsed="false">
      <c r="A8" s="9"/>
      <c r="B8" s="9"/>
      <c r="C8" s="14" t="s">
        <v>8</v>
      </c>
      <c r="D8" s="15" t="n">
        <f aca="false">SUMIF($B$34:$B$144,C8,$H$34:$H$144)*1.1</f>
        <v>3.114375</v>
      </c>
      <c r="E8" s="16" t="str">
        <f aca="false">INDEX($H$34:$H$145,MATCH(C8,$B$34:$B$145,0))</f>
        <v>(cu-m)</v>
      </c>
      <c r="F8" s="9"/>
      <c r="G8" s="9"/>
      <c r="H8" s="9"/>
    </row>
    <row r="9" customFormat="false" ht="15" hidden="false" customHeight="false" outlineLevel="0" collapsed="false">
      <c r="A9" s="9"/>
      <c r="B9" s="9"/>
      <c r="C9" s="17" t="s">
        <v>9</v>
      </c>
      <c r="D9" s="18"/>
      <c r="E9" s="19"/>
      <c r="F9" s="9"/>
      <c r="G9" s="9"/>
      <c r="H9" s="9"/>
    </row>
    <row r="10" customFormat="false" ht="15" hidden="false" customHeight="false" outlineLevel="0" collapsed="false">
      <c r="A10" s="9"/>
      <c r="B10" s="9"/>
      <c r="C10" s="20" t="s">
        <v>10</v>
      </c>
      <c r="D10" s="15" t="n">
        <f aca="false">SUMIF($B$34:$B$144,C10,$H$34:$H$144)*1.1</f>
        <v>66.7081888</v>
      </c>
      <c r="E10" s="16" t="str">
        <f aca="false">INDEX($H$34:$H$145,MATCH(C10,$B$34:$B$145,0))</f>
        <v>(cu-m)</v>
      </c>
      <c r="F10" s="9"/>
      <c r="G10" s="9"/>
      <c r="H10" s="9"/>
    </row>
    <row r="11" customFormat="false" ht="15" hidden="false" customHeight="false" outlineLevel="0" collapsed="false">
      <c r="A11" s="9"/>
      <c r="B11" s="9"/>
      <c r="C11" s="20" t="s">
        <v>11</v>
      </c>
      <c r="D11" s="15" t="n">
        <f aca="false">SUMIF($B$34:$B$144,C11,$H$34:$H$144)*1.1</f>
        <v>130.45758</v>
      </c>
      <c r="E11" s="16" t="str">
        <f aca="false">INDEX($H$34:$H$145,MATCH(C11,$B$34:$B$145,0))</f>
        <v>(Sq-m)</v>
      </c>
      <c r="F11" s="9"/>
      <c r="G11" s="9"/>
      <c r="H11" s="9"/>
    </row>
    <row r="12" customFormat="false" ht="15" hidden="false" customHeight="false" outlineLevel="0" collapsed="false">
      <c r="A12" s="9"/>
      <c r="B12" s="9"/>
      <c r="C12" s="20"/>
      <c r="D12" s="15"/>
      <c r="E12" s="16"/>
      <c r="F12" s="9"/>
      <c r="G12" s="9"/>
      <c r="H12" s="9"/>
    </row>
    <row r="13" customFormat="false" ht="15" hidden="false" customHeight="false" outlineLevel="0" collapsed="false">
      <c r="A13" s="9"/>
      <c r="B13" s="9"/>
      <c r="C13" s="21" t="s">
        <v>12</v>
      </c>
      <c r="D13" s="15" t="n">
        <f aca="false">SUMIF($B$34:$B$144,C13,$H$34:$H$144)*1.1</f>
        <v>7.337900768</v>
      </c>
      <c r="E13" s="16" t="str">
        <f aca="false">INDEX($H$34:$H$145,MATCH(C13,$B$34:$B$145,0))</f>
        <v>Ton</v>
      </c>
      <c r="F13" s="9"/>
      <c r="G13" s="9"/>
      <c r="H13" s="9"/>
    </row>
    <row r="14" customFormat="false" ht="15" hidden="false" customHeight="false" outlineLevel="0" collapsed="false">
      <c r="A14" s="9"/>
      <c r="B14" s="9"/>
      <c r="C14" s="20" t="s">
        <v>13</v>
      </c>
      <c r="D14" s="15" t="n">
        <f aca="false">SUMIF($B$34:$B$144,C14,$H$34:$H$144)*1.1</f>
        <v>0.02705384</v>
      </c>
      <c r="E14" s="16" t="str">
        <f aca="false">INDEX($H$34:$H$145,MATCH(C14,$B$34:$B$145,0))</f>
        <v>(cu-m)</v>
      </c>
      <c r="F14" s="9"/>
      <c r="G14" s="9"/>
      <c r="H14" s="9"/>
    </row>
    <row r="15" customFormat="false" ht="15" hidden="false" customHeight="false" outlineLevel="0" collapsed="false">
      <c r="A15" s="9"/>
      <c r="B15" s="9"/>
      <c r="C15" s="20" t="s">
        <v>14</v>
      </c>
      <c r="D15" s="15" t="n">
        <f aca="false">SUMIF($B$34:$B$144,C15,$H$34:$H$144)*1.1</f>
        <v>102.96</v>
      </c>
      <c r="E15" s="16" t="str">
        <f aca="false">INDEX($H$34:$H$145,MATCH(C15,$B$34:$B$145,0))</f>
        <v>(kg)</v>
      </c>
      <c r="F15" s="9"/>
      <c r="G15" s="9"/>
      <c r="H15" s="9"/>
    </row>
    <row r="16" customFormat="false" ht="15" hidden="false" customHeight="false" outlineLevel="0" collapsed="false">
      <c r="A16" s="9"/>
      <c r="B16" s="9"/>
      <c r="C16" s="20" t="s">
        <v>76</v>
      </c>
      <c r="D16" s="15" t="n">
        <f aca="false">SUMIF($B$34:$B$144,C16,$H$34:$H$144)*1.1</f>
        <v>94.004064</v>
      </c>
      <c r="E16" s="16" t="str">
        <f aca="false">INDEX($H$34:$H$145,MATCH(C16,$B$34:$B$145,0))</f>
        <v>(KG)</v>
      </c>
      <c r="F16" s="9"/>
      <c r="G16" s="9"/>
      <c r="H16" s="9"/>
    </row>
    <row r="17" customFormat="false" ht="15" hidden="false" customHeight="false" outlineLevel="0" collapsed="false">
      <c r="A17" s="9"/>
      <c r="B17" s="9"/>
      <c r="C17" s="9"/>
      <c r="D17" s="9"/>
      <c r="E17" s="9"/>
      <c r="F17" s="9"/>
      <c r="G17" s="9"/>
      <c r="H17" s="9"/>
    </row>
    <row r="18" customFormat="false" ht="15" hidden="false" customHeight="false" outlineLevel="0" collapsed="false">
      <c r="A18" s="9"/>
      <c r="B18" s="9"/>
      <c r="C18" s="9"/>
      <c r="D18" s="9"/>
      <c r="E18" s="9"/>
      <c r="F18" s="9"/>
      <c r="G18" s="9"/>
      <c r="H18" s="9"/>
    </row>
    <row r="19" customFormat="false" ht="15" hidden="false" customHeight="false" outlineLevel="0" collapsed="false">
      <c r="A19" s="9"/>
      <c r="B19" s="9"/>
      <c r="C19" s="9"/>
      <c r="D19" s="9"/>
      <c r="E19" s="9"/>
      <c r="F19" s="9"/>
      <c r="G19" s="9"/>
      <c r="H19" s="9"/>
    </row>
    <row r="20" customFormat="false" ht="15" hidden="false" customHeight="false" outlineLevel="0" collapsed="false">
      <c r="A20" s="9"/>
      <c r="B20" s="9"/>
      <c r="C20" s="9"/>
      <c r="D20" s="9"/>
      <c r="E20" s="9"/>
      <c r="F20" s="9"/>
      <c r="G20" s="9"/>
      <c r="H20" s="9"/>
    </row>
    <row r="21" customFormat="false" ht="15" hidden="false" customHeight="false" outlineLevel="0" collapsed="false">
      <c r="A21" s="9"/>
      <c r="B21" s="9"/>
      <c r="C21" s="9"/>
      <c r="D21" s="9"/>
      <c r="E21" s="9"/>
      <c r="F21" s="9"/>
      <c r="G21" s="9"/>
      <c r="H21" s="9"/>
    </row>
    <row r="22" customFormat="false" ht="15" hidden="false" customHeight="false" outlineLevel="0" collapsed="false">
      <c r="A22" s="9"/>
      <c r="B22" s="9"/>
      <c r="C22" s="9"/>
      <c r="D22" s="9"/>
      <c r="E22" s="9"/>
      <c r="F22" s="9"/>
      <c r="G22" s="9"/>
      <c r="H22" s="9"/>
    </row>
    <row r="23" customFormat="false" ht="15" hidden="false" customHeight="false" outlineLevel="0" collapsed="false">
      <c r="A23" s="9"/>
      <c r="B23" s="9"/>
      <c r="C23" s="9"/>
      <c r="D23" s="9"/>
      <c r="E23" s="9"/>
      <c r="F23" s="9"/>
      <c r="G23" s="9"/>
      <c r="H23" s="9"/>
    </row>
    <row r="24" customFormat="false" ht="15" hidden="false" customHeight="false" outlineLevel="0" collapsed="false">
      <c r="A24" s="9"/>
      <c r="B24" s="9"/>
      <c r="C24" s="9"/>
      <c r="D24" s="9"/>
      <c r="E24" s="9"/>
      <c r="F24" s="9"/>
      <c r="G24" s="9"/>
      <c r="H24" s="9"/>
    </row>
    <row r="25" customFormat="false" ht="15" hidden="false" customHeight="false" outlineLevel="0" collapsed="false">
      <c r="A25" s="9"/>
      <c r="B25" s="9"/>
      <c r="C25" s="9"/>
      <c r="D25" s="9"/>
      <c r="E25" s="9"/>
      <c r="F25" s="9"/>
      <c r="G25" s="9"/>
      <c r="H25" s="9"/>
    </row>
    <row r="26" customFormat="false" ht="15" hidden="false" customHeight="false" outlineLevel="0" collapsed="false">
      <c r="A26" s="9"/>
      <c r="B26" s="9"/>
      <c r="C26" s="9"/>
      <c r="D26" s="9"/>
      <c r="E26" s="9"/>
      <c r="F26" s="9"/>
      <c r="G26" s="9"/>
      <c r="H26" s="9"/>
    </row>
    <row r="27" customFormat="false" ht="15" hidden="false" customHeight="false" outlineLevel="0" collapsed="false">
      <c r="A27" s="9"/>
      <c r="B27" s="9"/>
      <c r="C27" s="9"/>
      <c r="D27" s="9"/>
      <c r="E27" s="9"/>
      <c r="F27" s="9"/>
      <c r="G27" s="9"/>
      <c r="H27" s="9"/>
    </row>
    <row r="28" customFormat="false" ht="15" hidden="false" customHeight="false" outlineLevel="0" collapsed="false">
      <c r="A28" s="9"/>
      <c r="B28" s="9"/>
      <c r="C28" s="9"/>
      <c r="D28" s="9"/>
      <c r="E28" s="9"/>
      <c r="F28" s="9"/>
      <c r="G28" s="9"/>
      <c r="H28" s="9"/>
    </row>
    <row r="29" customFormat="false" ht="15" hidden="false" customHeight="false" outlineLevel="0" collapsed="false">
      <c r="A29" s="9"/>
      <c r="B29" s="9"/>
      <c r="C29" s="9"/>
      <c r="D29" s="9"/>
      <c r="E29" s="9"/>
      <c r="F29" s="9"/>
      <c r="G29" s="9"/>
      <c r="H29" s="9"/>
    </row>
    <row r="30" customFormat="false" ht="15" hidden="false" customHeight="false" outlineLevel="0" collapsed="false">
      <c r="A30" s="9"/>
      <c r="B30" s="9"/>
      <c r="C30" s="9"/>
      <c r="D30" s="9"/>
      <c r="E30" s="9"/>
      <c r="F30" s="9"/>
      <c r="G30" s="9"/>
      <c r="H30" s="9"/>
    </row>
    <row r="31" customFormat="false" ht="15" hidden="false" customHeight="false" outlineLevel="0" collapsed="false">
      <c r="A31" s="9"/>
      <c r="B31" s="9"/>
      <c r="C31" s="9"/>
      <c r="D31" s="9"/>
      <c r="E31" s="9"/>
      <c r="F31" s="9"/>
      <c r="G31" s="9"/>
      <c r="H31" s="9"/>
    </row>
    <row r="32" customFormat="false" ht="15" hidden="false" customHeight="false" outlineLevel="0" collapsed="false">
      <c r="A32" s="9"/>
      <c r="B32" s="9"/>
      <c r="C32" s="9"/>
      <c r="D32" s="9"/>
      <c r="E32" s="9"/>
      <c r="F32" s="9"/>
      <c r="G32" s="9"/>
      <c r="H32" s="9"/>
    </row>
    <row r="33" customFormat="false" ht="15" hidden="false" customHeight="false" outlineLevel="0" collapsed="false">
      <c r="A33" s="9"/>
      <c r="B33" s="9"/>
      <c r="C33" s="9"/>
      <c r="D33" s="9"/>
      <c r="E33" s="9"/>
      <c r="F33" s="9"/>
      <c r="G33" s="9"/>
      <c r="H33" s="9"/>
    </row>
    <row r="34" customFormat="false" ht="15" hidden="false" customHeight="false" outlineLevel="0" collapsed="false">
      <c r="A34" s="9"/>
      <c r="B34" s="9"/>
      <c r="C34" s="9"/>
      <c r="D34" s="9"/>
      <c r="E34" s="9"/>
      <c r="F34" s="9"/>
      <c r="G34" s="9"/>
      <c r="H34" s="9"/>
    </row>
    <row r="35" customFormat="false" ht="15" hidden="false" customHeight="false" outlineLevel="0" collapsed="false">
      <c r="A35" s="9"/>
      <c r="B35" s="9"/>
      <c r="C35" s="9"/>
      <c r="D35" s="9"/>
      <c r="E35" s="9"/>
      <c r="F35" s="9"/>
      <c r="G35" s="9"/>
      <c r="H35" s="9"/>
    </row>
    <row r="36" customFormat="false" ht="15" hidden="false" customHeight="false" outlineLevel="0" collapsed="false">
      <c r="A36" s="9"/>
      <c r="B36" s="9"/>
      <c r="C36" s="9"/>
      <c r="D36" s="9"/>
      <c r="E36" s="9"/>
      <c r="F36" s="9"/>
      <c r="G36" s="9"/>
      <c r="H36" s="9"/>
    </row>
    <row r="37" customFormat="false" ht="16.5" hidden="false" customHeight="false" outlineLevel="0" collapsed="false">
      <c r="A37" s="22" t="s">
        <v>7</v>
      </c>
      <c r="B37" s="23"/>
      <c r="C37" s="23"/>
      <c r="D37" s="23"/>
      <c r="E37" s="23"/>
      <c r="F37" s="23"/>
      <c r="G37" s="23"/>
      <c r="H37" s="24"/>
    </row>
    <row r="38" customFormat="false" ht="15.75" hidden="false" customHeight="false" outlineLevel="0" collapsed="false">
      <c r="A38" s="108" t="s">
        <v>15</v>
      </c>
      <c r="B38" s="109"/>
      <c r="C38" s="110" t="s">
        <v>4</v>
      </c>
      <c r="D38" s="110" t="s">
        <v>16</v>
      </c>
      <c r="E38" s="110" t="s">
        <v>17</v>
      </c>
      <c r="F38" s="110" t="s">
        <v>18</v>
      </c>
      <c r="G38" s="110" t="s">
        <v>19</v>
      </c>
      <c r="H38" s="111" t="s">
        <v>20</v>
      </c>
      <c r="L38" s="17" t="s">
        <v>75</v>
      </c>
      <c r="M38" s="17"/>
      <c r="N38" s="17"/>
    </row>
    <row r="39" customFormat="false" ht="15" hidden="false" customHeight="false" outlineLevel="0" collapsed="false">
      <c r="A39" s="112"/>
      <c r="B39" s="30" t="s">
        <v>7</v>
      </c>
      <c r="C39" s="113"/>
      <c r="D39" s="112"/>
      <c r="E39" s="112" t="s">
        <v>21</v>
      </c>
      <c r="F39" s="112" t="s">
        <v>21</v>
      </c>
      <c r="G39" s="112" t="s">
        <v>21</v>
      </c>
      <c r="H39" s="112" t="s">
        <v>22</v>
      </c>
      <c r="L39" s="20" t="str">
        <f aca="false">A37</f>
        <v>EXCAVATION</v>
      </c>
      <c r="M39" s="41" t="n">
        <f aca="false">I44</f>
        <v>74.6972875</v>
      </c>
      <c r="N39" s="19" t="s">
        <v>24</v>
      </c>
    </row>
    <row r="40" customFormat="false" ht="15" hidden="false" customHeight="false" outlineLevel="0" collapsed="false">
      <c r="A40" s="30" t="n">
        <v>1</v>
      </c>
      <c r="B40" s="30" t="str">
        <f aca="false">A37</f>
        <v>EXCAVATION</v>
      </c>
      <c r="C40" s="32" t="s">
        <v>77</v>
      </c>
      <c r="D40" s="30" t="n">
        <v>1</v>
      </c>
      <c r="E40" s="30" t="n">
        <f aca="false">2.3+0.15</f>
        <v>2.45</v>
      </c>
      <c r="F40" s="30" t="n">
        <f aca="false">2.3+0.15</f>
        <v>2.45</v>
      </c>
      <c r="G40" s="30" t="n">
        <f aca="false">1.45+0.4+0.075</f>
        <v>1.925</v>
      </c>
      <c r="H40" s="33" t="n">
        <f aca="false">D40*E40*F40*G40</f>
        <v>11.5548125</v>
      </c>
      <c r="I40" s="34"/>
      <c r="J40" s="35"/>
      <c r="L40" s="20" t="str">
        <f aca="false">A46</f>
        <v>CC 1 : 4 : 8</v>
      </c>
      <c r="M40" s="41" t="n">
        <f aca="false">I51</f>
        <v>3.114375</v>
      </c>
      <c r="N40" s="19" t="s">
        <v>24</v>
      </c>
    </row>
    <row r="41" customFormat="false" ht="15" hidden="false" customHeight="false" outlineLevel="0" collapsed="false">
      <c r="A41" s="30" t="n">
        <v>2</v>
      </c>
      <c r="B41" s="30" t="str">
        <f aca="false">A37</f>
        <v>EXCAVATION</v>
      </c>
      <c r="C41" s="32" t="s">
        <v>78</v>
      </c>
      <c r="D41" s="30" t="n">
        <v>3</v>
      </c>
      <c r="E41" s="77" t="n">
        <f aca="false">4+0.15</f>
        <v>4.15</v>
      </c>
      <c r="F41" s="77" t="n">
        <f aca="false">2.4+0.15</f>
        <v>2.55</v>
      </c>
      <c r="G41" s="30" t="n">
        <f aca="false">1.7+0.075</f>
        <v>1.775</v>
      </c>
      <c r="H41" s="33" t="n">
        <f aca="false">D41*E41*F41*G41</f>
        <v>56.3518125</v>
      </c>
      <c r="I41" s="34"/>
      <c r="J41" s="35"/>
      <c r="L41" s="17" t="s">
        <v>9</v>
      </c>
      <c r="M41" s="18"/>
      <c r="N41" s="19"/>
    </row>
    <row r="42" customFormat="false" ht="15" hidden="false" customHeight="false" outlineLevel="0" collapsed="false">
      <c r="A42" s="96"/>
      <c r="B42" s="96"/>
      <c r="C42" s="97"/>
      <c r="D42" s="96"/>
      <c r="E42" s="96"/>
      <c r="F42" s="96"/>
      <c r="G42" s="96"/>
      <c r="H42" s="116"/>
      <c r="I42" s="34"/>
      <c r="J42" s="35"/>
      <c r="L42" s="20" t="str">
        <f aca="false">A53</f>
        <v>RCC 3750 PSI</v>
      </c>
      <c r="M42" s="41" t="n">
        <f aca="false">I61</f>
        <v>66.7081888</v>
      </c>
      <c r="N42" s="19" t="s">
        <v>24</v>
      </c>
    </row>
    <row r="43" customFormat="false" ht="15" hidden="false" customHeight="false" outlineLevel="0" collapsed="false">
      <c r="A43" s="96"/>
      <c r="B43" s="96"/>
      <c r="C43" s="119"/>
      <c r="D43" s="96"/>
      <c r="E43" s="120"/>
      <c r="F43" s="120"/>
      <c r="G43" s="120"/>
      <c r="H43" s="121"/>
      <c r="L43" s="20" t="str">
        <f aca="false">A91</f>
        <v>ANCHOR BOLTS</v>
      </c>
      <c r="M43" s="41" t="n">
        <f aca="false">I96</f>
        <v>102.96</v>
      </c>
      <c r="N43" s="19" t="s">
        <v>27</v>
      </c>
    </row>
    <row r="44" customFormat="false" ht="15" hidden="false" customHeight="false" outlineLevel="0" collapsed="false">
      <c r="A44" s="96"/>
      <c r="B44" s="96"/>
      <c r="C44" s="119"/>
      <c r="D44" s="96"/>
      <c r="E44" s="120"/>
      <c r="F44" s="120"/>
      <c r="G44" s="120"/>
      <c r="H44" s="121"/>
      <c r="I44" s="56" t="n">
        <f aca="false">SUM(H40:H43)*1.1</f>
        <v>74.6972875</v>
      </c>
      <c r="J44" s="57" t="s">
        <v>28</v>
      </c>
      <c r="K44" s="58"/>
      <c r="L44" s="117"/>
      <c r="M44" s="138"/>
      <c r="N44" s="117"/>
    </row>
    <row r="45" customFormat="false" ht="15" hidden="false" customHeight="false" outlineLevel="0" collapsed="false">
      <c r="A45" s="117"/>
      <c r="B45" s="117"/>
      <c r="C45" s="122"/>
      <c r="D45" s="117"/>
      <c r="E45" s="123"/>
      <c r="F45" s="123"/>
      <c r="G45" s="123"/>
      <c r="H45" s="124"/>
      <c r="I45" s="60"/>
      <c r="J45" s="58"/>
      <c r="K45" s="58"/>
      <c r="L45" s="117"/>
      <c r="M45" s="139"/>
      <c r="N45" s="140"/>
    </row>
    <row r="46" customFormat="false" ht="15.75" hidden="false" customHeight="false" outlineLevel="0" collapsed="false">
      <c r="A46" s="61" t="s">
        <v>8</v>
      </c>
      <c r="B46" s="62"/>
      <c r="C46" s="62"/>
      <c r="D46" s="62"/>
      <c r="E46" s="62"/>
      <c r="F46" s="62"/>
      <c r="G46" s="62"/>
      <c r="H46" s="63"/>
      <c r="L46" s="9"/>
      <c r="M46" s="64"/>
      <c r="N46" s="9"/>
    </row>
    <row r="47" customFormat="false" ht="15" hidden="false" customHeight="false" outlineLevel="0" collapsed="false">
      <c r="A47" s="19" t="s">
        <v>15</v>
      </c>
      <c r="B47" s="19"/>
      <c r="C47" s="19" t="s">
        <v>4</v>
      </c>
      <c r="D47" s="19" t="s">
        <v>16</v>
      </c>
      <c r="E47" s="19" t="s">
        <v>29</v>
      </c>
      <c r="F47" s="19" t="s">
        <v>30</v>
      </c>
      <c r="G47" s="19" t="s">
        <v>19</v>
      </c>
      <c r="H47" s="19" t="s">
        <v>20</v>
      </c>
      <c r="L47" s="9"/>
      <c r="M47" s="64"/>
      <c r="N47" s="9"/>
    </row>
    <row r="48" customFormat="false" ht="15" hidden="false" customHeight="false" outlineLevel="0" collapsed="false">
      <c r="A48" s="19"/>
      <c r="B48" s="19" t="s">
        <v>8</v>
      </c>
      <c r="C48" s="19"/>
      <c r="D48" s="19"/>
      <c r="E48" s="19" t="s">
        <v>21</v>
      </c>
      <c r="F48" s="19" t="s">
        <v>21</v>
      </c>
      <c r="G48" s="19" t="s">
        <v>21</v>
      </c>
      <c r="H48" s="19" t="s">
        <v>22</v>
      </c>
      <c r="L48" s="9"/>
    </row>
    <row r="49" customFormat="false" ht="15" hidden="false" customHeight="false" outlineLevel="0" collapsed="false">
      <c r="A49" s="30" t="n">
        <v>1</v>
      </c>
      <c r="B49" s="30" t="s">
        <v>8</v>
      </c>
      <c r="C49" s="32" t="str">
        <f aca="false">C40</f>
        <v>F1</v>
      </c>
      <c r="D49" s="77" t="n">
        <f aca="false">D40</f>
        <v>1</v>
      </c>
      <c r="E49" s="77" t="n">
        <f aca="false">E40</f>
        <v>2.45</v>
      </c>
      <c r="F49" s="77" t="n">
        <f aca="false">F40</f>
        <v>2.45</v>
      </c>
      <c r="G49" s="30" t="n">
        <v>0.075</v>
      </c>
      <c r="H49" s="33" t="n">
        <f aca="false">D49*E49*F49*G49</f>
        <v>0.4501875</v>
      </c>
      <c r="J49" s="54"/>
      <c r="K49" s="54"/>
      <c r="L49" s="55"/>
    </row>
    <row r="50" customFormat="false" ht="15" hidden="false" customHeight="false" outlineLevel="0" collapsed="false">
      <c r="A50" s="30" t="n">
        <v>2</v>
      </c>
      <c r="B50" s="30" t="s">
        <v>8</v>
      </c>
      <c r="C50" s="32" t="str">
        <f aca="false">C41</f>
        <v>F2</v>
      </c>
      <c r="D50" s="77" t="n">
        <f aca="false">D41</f>
        <v>3</v>
      </c>
      <c r="E50" s="77" t="n">
        <f aca="false">E41</f>
        <v>4.15</v>
      </c>
      <c r="F50" s="77" t="n">
        <f aca="false">F41</f>
        <v>2.55</v>
      </c>
      <c r="G50" s="30" t="n">
        <v>0.075</v>
      </c>
      <c r="H50" s="33" t="n">
        <f aca="false">D50*E50*F50*G50</f>
        <v>2.3810625</v>
      </c>
      <c r="J50" s="54"/>
      <c r="K50" s="54"/>
      <c r="L50" s="55"/>
    </row>
    <row r="51" customFormat="false" ht="15" hidden="false" customHeight="false" outlineLevel="0" collapsed="false">
      <c r="A51" s="19"/>
      <c r="B51" s="19"/>
      <c r="C51" s="50"/>
      <c r="D51" s="19"/>
      <c r="E51" s="51"/>
      <c r="F51" s="51"/>
      <c r="G51" s="51"/>
      <c r="H51" s="52"/>
      <c r="I51" s="56" t="n">
        <f aca="false">SUM(H49:H50)*1.1</f>
        <v>3.114375</v>
      </c>
      <c r="J51" s="57" t="s">
        <v>8</v>
      </c>
    </row>
    <row r="52" customFormat="false" ht="15" hidden="false" customHeight="false" outlineLevel="0" collapsed="false">
      <c r="A52" s="9"/>
      <c r="B52" s="9"/>
      <c r="C52" s="53"/>
      <c r="D52" s="9"/>
      <c r="E52" s="54"/>
      <c r="F52" s="54"/>
      <c r="G52" s="54"/>
      <c r="H52" s="55"/>
      <c r="I52" s="74"/>
      <c r="J52" s="58"/>
      <c r="K52" s="58"/>
      <c r="M52" s="58"/>
    </row>
    <row r="53" customFormat="false" ht="15.75" hidden="false" customHeight="false" outlineLevel="0" collapsed="false">
      <c r="A53" s="61" t="s">
        <v>10</v>
      </c>
      <c r="B53" s="62"/>
      <c r="C53" s="62"/>
      <c r="D53" s="62"/>
      <c r="E53" s="62"/>
      <c r="F53" s="62"/>
      <c r="G53" s="62"/>
      <c r="H53" s="63"/>
      <c r="I53" s="54"/>
    </row>
    <row r="54" customFormat="false" ht="15" hidden="false" customHeight="false" outlineLevel="0" collapsed="false">
      <c r="A54" s="19" t="s">
        <v>15</v>
      </c>
      <c r="B54" s="19"/>
      <c r="C54" s="19" t="s">
        <v>4</v>
      </c>
      <c r="D54" s="19" t="s">
        <v>16</v>
      </c>
      <c r="E54" s="19" t="s">
        <v>29</v>
      </c>
      <c r="F54" s="19" t="s">
        <v>30</v>
      </c>
      <c r="G54" s="19" t="s">
        <v>19</v>
      </c>
      <c r="H54" s="19" t="s">
        <v>20</v>
      </c>
      <c r="I54" s="54"/>
    </row>
    <row r="55" customFormat="false" ht="15" hidden="false" customHeight="false" outlineLevel="0" collapsed="false">
      <c r="A55" s="19"/>
      <c r="B55" s="30" t="s">
        <v>10</v>
      </c>
      <c r="C55" s="125" t="s">
        <v>79</v>
      </c>
      <c r="D55" s="45"/>
      <c r="E55" s="45" t="s">
        <v>21</v>
      </c>
      <c r="F55" s="45" t="s">
        <v>21</v>
      </c>
      <c r="G55" s="45" t="s">
        <v>21</v>
      </c>
      <c r="H55" s="45" t="s">
        <v>22</v>
      </c>
      <c r="I55" s="54"/>
    </row>
    <row r="56" customFormat="false" ht="15" hidden="false" customHeight="false" outlineLevel="0" collapsed="false">
      <c r="A56" s="30" t="n">
        <v>1</v>
      </c>
      <c r="B56" s="30" t="s">
        <v>10</v>
      </c>
      <c r="C56" s="32" t="str">
        <f aca="false">C40</f>
        <v>F1</v>
      </c>
      <c r="D56" s="77" t="n">
        <f aca="false">D40</f>
        <v>1</v>
      </c>
      <c r="E56" s="77" t="n">
        <f aca="false">E40-0.15</f>
        <v>2.3</v>
      </c>
      <c r="F56" s="77" t="n">
        <f aca="false">F40-0.15</f>
        <v>2.3</v>
      </c>
      <c r="G56" s="30" t="n">
        <v>0.4</v>
      </c>
      <c r="H56" s="33" t="n">
        <f aca="false">D56*E56*F56*G56</f>
        <v>2.116</v>
      </c>
      <c r="I56" s="54"/>
    </row>
    <row r="57" customFormat="false" ht="15" hidden="false" customHeight="false" outlineLevel="0" collapsed="false">
      <c r="A57" s="30" t="n">
        <v>2</v>
      </c>
      <c r="B57" s="30" t="s">
        <v>10</v>
      </c>
      <c r="C57" s="32" t="str">
        <f aca="false">C41</f>
        <v>F2</v>
      </c>
      <c r="D57" s="77" t="n">
        <f aca="false">D41</f>
        <v>3</v>
      </c>
      <c r="E57" s="77" t="n">
        <f aca="false">E41-0.15</f>
        <v>4</v>
      </c>
      <c r="F57" s="77" t="n">
        <f aca="false">F41-0.15</f>
        <v>2.4</v>
      </c>
      <c r="G57" s="30" t="n">
        <f aca="false">1.7+0.3</f>
        <v>2</v>
      </c>
      <c r="H57" s="33" t="n">
        <f aca="false">D57*E57*F57*G57</f>
        <v>57.6</v>
      </c>
      <c r="I57" s="54"/>
    </row>
    <row r="58" customFormat="false" ht="15" hidden="false" customHeight="false" outlineLevel="0" collapsed="false">
      <c r="A58" s="96"/>
      <c r="B58" s="96"/>
      <c r="C58" s="125" t="s">
        <v>80</v>
      </c>
      <c r="D58" s="96"/>
      <c r="E58" s="96"/>
      <c r="F58" s="96"/>
      <c r="G58" s="96"/>
      <c r="H58" s="128"/>
      <c r="I58" s="54"/>
    </row>
    <row r="59" customFormat="false" ht="15" hidden="false" customHeight="false" outlineLevel="0" collapsed="false">
      <c r="A59" s="30" t="n">
        <v>1</v>
      </c>
      <c r="B59" s="30" t="s">
        <v>10</v>
      </c>
      <c r="C59" s="32" t="str">
        <f aca="false">C49</f>
        <v>F1</v>
      </c>
      <c r="D59" s="77" t="n">
        <v>1</v>
      </c>
      <c r="E59" s="141" t="n">
        <f aca="false">0.8284*(0.8)^2</f>
        <v>0.530176</v>
      </c>
      <c r="F59" s="141"/>
      <c r="G59" s="30" t="n">
        <f aca="false">1.45+0.3</f>
        <v>1.75</v>
      </c>
      <c r="H59" s="33" t="n">
        <f aca="false">D59*E59*G59</f>
        <v>0.927808</v>
      </c>
      <c r="I59" s="54"/>
    </row>
    <row r="60" customFormat="false" ht="15" hidden="false" customHeight="false" outlineLevel="0" collapsed="false">
      <c r="A60" s="20"/>
      <c r="B60" s="20"/>
      <c r="C60" s="39"/>
      <c r="D60" s="21"/>
      <c r="E60" s="20"/>
      <c r="F60" s="20"/>
      <c r="G60" s="20"/>
      <c r="H60" s="40"/>
      <c r="I60" s="54"/>
    </row>
    <row r="61" customFormat="false" ht="15" hidden="false" customHeight="false" outlineLevel="0" collapsed="false">
      <c r="A61" s="19"/>
      <c r="B61" s="19"/>
      <c r="C61" s="50"/>
      <c r="D61" s="19"/>
      <c r="E61" s="51"/>
      <c r="F61" s="51"/>
      <c r="G61" s="51"/>
      <c r="H61" s="52"/>
      <c r="I61" s="72" t="n">
        <f aca="false">SUM(H56:H60)*1.1</f>
        <v>66.7081888</v>
      </c>
      <c r="J61" s="73" t="s">
        <v>10</v>
      </c>
      <c r="K61" s="58"/>
    </row>
    <row r="62" customFormat="false" ht="15" hidden="false" customHeight="false" outlineLevel="0" collapsed="false">
      <c r="A62" s="9"/>
      <c r="B62" s="9"/>
      <c r="C62" s="53"/>
      <c r="D62" s="9"/>
      <c r="E62" s="54"/>
      <c r="F62" s="54"/>
      <c r="G62" s="54"/>
      <c r="H62" s="55"/>
      <c r="I62" s="74"/>
      <c r="J62" s="58"/>
      <c r="K62" s="58"/>
    </row>
    <row r="63" customFormat="false" ht="15.75" hidden="false" customHeight="false" outlineLevel="0" collapsed="false">
      <c r="A63" s="61" t="s">
        <v>11</v>
      </c>
      <c r="B63" s="62"/>
      <c r="C63" s="62"/>
      <c r="D63" s="62"/>
      <c r="E63" s="62"/>
      <c r="F63" s="62"/>
      <c r="G63" s="62"/>
      <c r="H63" s="63"/>
      <c r="I63" s="58"/>
      <c r="J63" s="58"/>
      <c r="K63" s="58"/>
    </row>
    <row r="64" customFormat="false" ht="15" hidden="false" customHeight="false" outlineLevel="0" collapsed="false">
      <c r="A64" s="19" t="s">
        <v>15</v>
      </c>
      <c r="B64" s="19"/>
      <c r="C64" s="19" t="s">
        <v>4</v>
      </c>
      <c r="D64" s="19" t="s">
        <v>16</v>
      </c>
      <c r="E64" s="19" t="s">
        <v>29</v>
      </c>
      <c r="F64" s="19" t="s">
        <v>30</v>
      </c>
      <c r="G64" s="19" t="s">
        <v>19</v>
      </c>
      <c r="H64" s="19" t="s">
        <v>20</v>
      </c>
      <c r="I64" s="58"/>
      <c r="J64" s="58"/>
      <c r="K64" s="58"/>
    </row>
    <row r="65" customFormat="false" ht="15" hidden="false" customHeight="false" outlineLevel="0" collapsed="false">
      <c r="A65" s="19"/>
      <c r="B65" s="19" t="s">
        <v>11</v>
      </c>
      <c r="C65" s="19"/>
      <c r="D65" s="19"/>
      <c r="E65" s="19" t="s">
        <v>21</v>
      </c>
      <c r="F65" s="19" t="s">
        <v>21</v>
      </c>
      <c r="G65" s="19" t="s">
        <v>21</v>
      </c>
      <c r="H65" s="19" t="s">
        <v>31</v>
      </c>
      <c r="I65" s="58"/>
      <c r="J65" s="58"/>
      <c r="K65" s="58"/>
    </row>
    <row r="66" customFormat="false" ht="15" hidden="false" customHeight="false" outlineLevel="0" collapsed="false">
      <c r="A66" s="30" t="n">
        <v>1</v>
      </c>
      <c r="B66" s="30" t="s">
        <v>11</v>
      </c>
      <c r="C66" s="32" t="s">
        <v>81</v>
      </c>
      <c r="D66" s="77" t="n">
        <v>1</v>
      </c>
      <c r="E66" s="67" t="n">
        <f aca="false">2*E56+2*F56</f>
        <v>9.2</v>
      </c>
      <c r="F66" s="67"/>
      <c r="G66" s="77" t="n">
        <f aca="false">0.4+0.15</f>
        <v>0.55</v>
      </c>
      <c r="H66" s="33" t="n">
        <f aca="false">D66*E66*G66</f>
        <v>5.06</v>
      </c>
      <c r="I66" s="58"/>
      <c r="J66" s="58"/>
      <c r="K66" s="58"/>
    </row>
    <row r="67" customFormat="false" ht="15" hidden="false" customHeight="false" outlineLevel="0" collapsed="false">
      <c r="A67" s="30"/>
      <c r="B67" s="30" t="s">
        <v>11</v>
      </c>
      <c r="C67" s="76" t="s">
        <v>82</v>
      </c>
      <c r="D67" s="77" t="n">
        <v>1</v>
      </c>
      <c r="E67" s="67" t="n">
        <f aca="false">E56*F56</f>
        <v>5.29</v>
      </c>
      <c r="F67" s="67"/>
      <c r="G67" s="77" t="s">
        <v>83</v>
      </c>
      <c r="H67" s="33" t="n">
        <f aca="false">D67*E67</f>
        <v>5.29</v>
      </c>
      <c r="I67" s="58"/>
      <c r="J67" s="58"/>
      <c r="K67" s="58"/>
    </row>
    <row r="68" customFormat="false" ht="15" hidden="false" customHeight="false" outlineLevel="0" collapsed="false">
      <c r="A68" s="30"/>
      <c r="B68" s="30" t="s">
        <v>11</v>
      </c>
      <c r="C68" s="76" t="s">
        <v>84</v>
      </c>
      <c r="D68" s="77" t="n">
        <v>1</v>
      </c>
      <c r="E68" s="67" t="n">
        <f aca="false">8*0.331</f>
        <v>2.648</v>
      </c>
      <c r="F68" s="67"/>
      <c r="G68" s="77" t="n">
        <f aca="false">1.45+0.3-0.025</f>
        <v>1.725</v>
      </c>
      <c r="H68" s="33" t="n">
        <f aca="false">D68*E68*G68</f>
        <v>4.5678</v>
      </c>
      <c r="I68" s="58"/>
      <c r="J68" s="58"/>
      <c r="K68" s="58"/>
    </row>
    <row r="69" customFormat="false" ht="15" hidden="false" customHeight="false" outlineLevel="0" collapsed="false">
      <c r="A69" s="30" t="n">
        <v>2</v>
      </c>
      <c r="B69" s="30" t="s">
        <v>11</v>
      </c>
      <c r="C69" s="76" t="s">
        <v>85</v>
      </c>
      <c r="D69" s="77" t="n">
        <v>3</v>
      </c>
      <c r="E69" s="67" t="n">
        <f aca="false">2*E57+2*F57</f>
        <v>12.8</v>
      </c>
      <c r="F69" s="67"/>
      <c r="G69" s="77" t="n">
        <f aca="false">0.15+1.7+0.1</f>
        <v>1.95</v>
      </c>
      <c r="H69" s="33" t="n">
        <f aca="false">D69*E69*G69</f>
        <v>74.88</v>
      </c>
      <c r="I69" s="58"/>
      <c r="J69" s="58"/>
      <c r="K69" s="58"/>
    </row>
    <row r="70" customFormat="false" ht="15" hidden="false" customHeight="false" outlineLevel="0" collapsed="false">
      <c r="A70" s="30"/>
      <c r="B70" s="30" t="s">
        <v>11</v>
      </c>
      <c r="C70" s="76" t="s">
        <v>86</v>
      </c>
      <c r="D70" s="77" t="n">
        <v>3</v>
      </c>
      <c r="E70" s="67" t="n">
        <f aca="false">E57*F57</f>
        <v>9.6</v>
      </c>
      <c r="F70" s="67"/>
      <c r="G70" s="77" t="s">
        <v>83</v>
      </c>
      <c r="H70" s="33" t="n">
        <f aca="false">D70*E70</f>
        <v>28.8</v>
      </c>
      <c r="I70" s="58"/>
      <c r="J70" s="58"/>
      <c r="K70" s="58"/>
    </row>
    <row r="71" customFormat="false" ht="15" hidden="false" customHeight="false" outlineLevel="0" collapsed="false">
      <c r="A71" s="20"/>
      <c r="B71" s="20"/>
      <c r="C71" s="78"/>
      <c r="D71" s="21"/>
      <c r="E71" s="71"/>
      <c r="F71" s="21"/>
      <c r="G71" s="21"/>
      <c r="H71" s="40"/>
      <c r="I71" s="58"/>
      <c r="J71" s="58"/>
      <c r="K71" s="58"/>
    </row>
    <row r="72" customFormat="false" ht="15" hidden="false" customHeight="false" outlineLevel="0" collapsed="false">
      <c r="A72" s="19"/>
      <c r="B72" s="19"/>
      <c r="C72" s="50"/>
      <c r="D72" s="19"/>
      <c r="E72" s="80"/>
      <c r="F72" s="80"/>
      <c r="G72" s="19"/>
      <c r="H72" s="19"/>
      <c r="I72" s="72" t="n">
        <f aca="false">SUM(H66:H72)*1.1</f>
        <v>130.45758</v>
      </c>
      <c r="J72" s="73" t="s">
        <v>32</v>
      </c>
      <c r="K72" s="58"/>
    </row>
    <row r="73" customFormat="false" ht="15" hidden="false" customHeight="false" outlineLevel="0" collapsed="false">
      <c r="A73" s="83"/>
      <c r="B73" s="83"/>
      <c r="C73" s="84"/>
      <c r="D73" s="83"/>
      <c r="E73" s="85"/>
      <c r="F73" s="85"/>
      <c r="G73" s="83"/>
      <c r="H73" s="83"/>
      <c r="I73" s="129"/>
      <c r="J73" s="130"/>
      <c r="K73" s="58"/>
    </row>
    <row r="74" customFormat="false" ht="15" hidden="false" customHeight="false" outlineLevel="0" collapsed="false">
      <c r="A74" s="83"/>
      <c r="B74" s="83"/>
      <c r="C74" s="84"/>
      <c r="D74" s="83"/>
      <c r="E74" s="85"/>
      <c r="F74" s="85"/>
      <c r="G74" s="83"/>
      <c r="H74" s="83"/>
      <c r="I74" s="58"/>
      <c r="J74" s="58"/>
      <c r="K74" s="58"/>
    </row>
    <row r="75" customFormat="false" ht="15.75" hidden="false" customHeight="false" outlineLevel="0" collapsed="false">
      <c r="A75" s="61" t="s">
        <v>12</v>
      </c>
      <c r="B75" s="62"/>
      <c r="C75" s="62"/>
      <c r="D75" s="62"/>
      <c r="E75" s="62"/>
      <c r="F75" s="62"/>
      <c r="G75" s="62"/>
      <c r="H75" s="63"/>
    </row>
    <row r="76" customFormat="false" ht="15" hidden="false" customHeight="false" outlineLevel="0" collapsed="false">
      <c r="A76" s="19" t="s">
        <v>15</v>
      </c>
      <c r="B76" s="19"/>
      <c r="C76" s="19" t="s">
        <v>4</v>
      </c>
      <c r="D76" s="19" t="s">
        <v>16</v>
      </c>
      <c r="E76" s="19" t="s">
        <v>33</v>
      </c>
      <c r="F76" s="19" t="s">
        <v>34</v>
      </c>
      <c r="G76" s="19" t="s">
        <v>35</v>
      </c>
      <c r="H76" s="19" t="s">
        <v>35</v>
      </c>
    </row>
    <row r="77" customFormat="false" ht="15" hidden="false" customHeight="false" outlineLevel="0" collapsed="false">
      <c r="A77" s="19"/>
      <c r="B77" s="19" t="s">
        <v>12</v>
      </c>
      <c r="C77" s="19"/>
      <c r="D77" s="19"/>
      <c r="E77" s="19" t="s">
        <v>36</v>
      </c>
      <c r="F77" s="19" t="s">
        <v>37</v>
      </c>
      <c r="G77" s="19" t="s">
        <v>38</v>
      </c>
      <c r="H77" s="45" t="s">
        <v>39</v>
      </c>
    </row>
    <row r="78" customFormat="false" ht="15" hidden="false" customHeight="false" outlineLevel="0" collapsed="false">
      <c r="A78" s="19"/>
      <c r="B78" s="19"/>
      <c r="C78" s="50" t="s">
        <v>12</v>
      </c>
      <c r="D78" s="19"/>
      <c r="E78" s="19"/>
      <c r="F78" s="19"/>
      <c r="G78" s="19"/>
      <c r="H78" s="19"/>
    </row>
    <row r="79" customFormat="false" ht="15" hidden="false" customHeight="false" outlineLevel="0" collapsed="false">
      <c r="A79" s="30" t="n">
        <v>1</v>
      </c>
      <c r="B79" s="30" t="s">
        <v>12</v>
      </c>
      <c r="C79" s="32" t="s">
        <v>87</v>
      </c>
      <c r="D79" s="30"/>
      <c r="E79" s="87" t="n">
        <f aca="false">I61</f>
        <v>66.7081888</v>
      </c>
      <c r="F79" s="30" t="n">
        <v>100</v>
      </c>
      <c r="G79" s="30" t="n">
        <f aca="false">E79*F79</f>
        <v>6670.81888</v>
      </c>
      <c r="H79" s="30" t="n">
        <f aca="false">G79/1000</f>
        <v>6.67081888</v>
      </c>
      <c r="I79" s="88"/>
      <c r="J79" s="88"/>
    </row>
    <row r="80" customFormat="false" ht="15" hidden="false" customHeight="false" outlineLevel="0" collapsed="false">
      <c r="A80" s="20"/>
      <c r="B80" s="20"/>
      <c r="C80" s="39"/>
      <c r="D80" s="20"/>
      <c r="E80" s="70"/>
      <c r="F80" s="20"/>
      <c r="G80" s="20"/>
      <c r="H80" s="20"/>
      <c r="I80" s="88"/>
      <c r="J80" s="88"/>
    </row>
    <row r="81" customFormat="false" ht="15" hidden="false" customHeight="false" outlineLevel="0" collapsed="false">
      <c r="A81" s="51"/>
      <c r="B81" s="51"/>
      <c r="C81" s="51"/>
      <c r="D81" s="17" t="s">
        <v>41</v>
      </c>
      <c r="E81" s="90" t="n">
        <f aca="false">SUM(E79:E80)</f>
        <v>66.7081888</v>
      </c>
      <c r="F81" s="19"/>
      <c r="G81" s="17" t="n">
        <f aca="false">SUM(G79:G80)</f>
        <v>6670.81888</v>
      </c>
      <c r="H81" s="17" t="n">
        <f aca="false">SUM(H79:H80)</f>
        <v>6.67081888</v>
      </c>
      <c r="I81" s="91" t="n">
        <f aca="false">H81*1.1</f>
        <v>7.337900768</v>
      </c>
      <c r="J81" s="82" t="s">
        <v>42</v>
      </c>
    </row>
    <row r="82" customFormat="false" ht="15" hidden="false" customHeight="false" outlineLevel="0" collapsed="false">
      <c r="A82" s="54"/>
      <c r="B82" s="54"/>
      <c r="C82" s="54"/>
      <c r="D82" s="54"/>
      <c r="E82" s="54"/>
      <c r="F82" s="92" t="s">
        <v>43</v>
      </c>
      <c r="G82" s="92" t="n">
        <f aca="false">H81*1000/E81</f>
        <v>100</v>
      </c>
      <c r="H82" s="54"/>
    </row>
    <row r="83" customFormat="false" ht="15" hidden="false" customHeight="false" outlineLevel="0" collapsed="false">
      <c r="A83" s="9"/>
      <c r="B83" s="9"/>
      <c r="C83" s="9"/>
      <c r="D83" s="9"/>
      <c r="E83" s="9"/>
      <c r="F83" s="9"/>
      <c r="G83" s="9"/>
      <c r="H83" s="9"/>
      <c r="I83" s="9"/>
      <c r="J83" s="88"/>
    </row>
    <row r="84" customFormat="false" ht="15.75" hidden="false" customHeight="false" outlineLevel="0" collapsed="false">
      <c r="A84" s="61" t="s">
        <v>13</v>
      </c>
      <c r="B84" s="62"/>
      <c r="C84" s="62"/>
      <c r="D84" s="62"/>
      <c r="E84" s="62"/>
      <c r="F84" s="62"/>
      <c r="G84" s="62"/>
      <c r="H84" s="63"/>
      <c r="I84" s="88"/>
      <c r="J84" s="88"/>
    </row>
    <row r="85" customFormat="false" ht="15" hidden="false" customHeight="false" outlineLevel="0" collapsed="false">
      <c r="A85" s="19" t="s">
        <v>15</v>
      </c>
      <c r="B85" s="19"/>
      <c r="C85" s="19" t="s">
        <v>4</v>
      </c>
      <c r="D85" s="19" t="s">
        <v>16</v>
      </c>
      <c r="E85" s="19" t="s">
        <v>29</v>
      </c>
      <c r="F85" s="19" t="s">
        <v>30</v>
      </c>
      <c r="G85" s="19" t="s">
        <v>19</v>
      </c>
      <c r="H85" s="19" t="s">
        <v>20</v>
      </c>
      <c r="I85" s="88"/>
      <c r="J85" s="88"/>
    </row>
    <row r="86" customFormat="false" ht="15" hidden="false" customHeight="false" outlineLevel="0" collapsed="false">
      <c r="A86" s="19"/>
      <c r="B86" s="19" t="s">
        <v>13</v>
      </c>
      <c r="C86" s="19"/>
      <c r="D86" s="19"/>
      <c r="E86" s="19" t="s">
        <v>21</v>
      </c>
      <c r="F86" s="19" t="s">
        <v>21</v>
      </c>
      <c r="G86" s="19" t="s">
        <v>21</v>
      </c>
      <c r="H86" s="19" t="s">
        <v>22</v>
      </c>
      <c r="I86" s="88"/>
      <c r="J86" s="88"/>
    </row>
    <row r="87" customFormat="false" ht="15" hidden="false" customHeight="false" outlineLevel="0" collapsed="false">
      <c r="A87" s="30" t="n">
        <v>1</v>
      </c>
      <c r="B87" s="30" t="s">
        <v>13</v>
      </c>
      <c r="C87" s="32" t="str">
        <f aca="false">C40</f>
        <v>F1</v>
      </c>
      <c r="D87" s="131" t="n">
        <f aca="false">D59</f>
        <v>1</v>
      </c>
      <c r="E87" s="142" t="n">
        <f aca="false">E59</f>
        <v>0.530176</v>
      </c>
      <c r="F87" s="142"/>
      <c r="G87" s="30" t="n">
        <v>0.025</v>
      </c>
      <c r="H87" s="93" t="n">
        <f aca="false">D87*E87*G87</f>
        <v>0.0132544</v>
      </c>
      <c r="I87" s="88"/>
      <c r="J87" s="88"/>
    </row>
    <row r="88" customFormat="false" ht="15" hidden="false" customHeight="false" outlineLevel="0" collapsed="false">
      <c r="A88" s="30" t="n">
        <v>2</v>
      </c>
      <c r="B88" s="30" t="s">
        <v>13</v>
      </c>
      <c r="C88" s="32" t="str">
        <f aca="false">C41</f>
        <v>F2</v>
      </c>
      <c r="D88" s="131" t="n">
        <v>3</v>
      </c>
      <c r="E88" s="143" t="n">
        <f aca="false">0.54*0.28</f>
        <v>0.1512</v>
      </c>
      <c r="F88" s="143"/>
      <c r="G88" s="30" t="n">
        <v>0.025</v>
      </c>
      <c r="H88" s="93" t="n">
        <f aca="false">D88*E88*G88</f>
        <v>0.01134</v>
      </c>
      <c r="I88" s="88"/>
      <c r="J88" s="88"/>
    </row>
    <row r="89" customFormat="false" ht="15" hidden="false" customHeight="false" outlineLevel="0" collapsed="false">
      <c r="A89" s="96"/>
      <c r="B89" s="96"/>
      <c r="C89" s="97"/>
      <c r="D89" s="96"/>
      <c r="E89" s="96"/>
      <c r="F89" s="96"/>
      <c r="G89" s="96"/>
      <c r="H89" s="98"/>
      <c r="I89" s="91" t="n">
        <f aca="false">SUM(H87:H89)*1.1</f>
        <v>0.02705384</v>
      </c>
      <c r="J89" s="82" t="s">
        <v>48</v>
      </c>
    </row>
    <row r="90" customFormat="false" ht="15" hidden="false" customHeight="false" outlineLevel="0" collapsed="false">
      <c r="A90" s="88"/>
      <c r="B90" s="88"/>
      <c r="C90" s="88"/>
      <c r="D90" s="88"/>
      <c r="E90" s="88"/>
      <c r="F90" s="88"/>
      <c r="G90" s="88"/>
      <c r="H90" s="88"/>
      <c r="I90" s="88"/>
      <c r="J90" s="88"/>
    </row>
    <row r="91" customFormat="false" ht="15.75" hidden="false" customHeight="false" outlineLevel="0" collapsed="false">
      <c r="A91" s="61" t="s">
        <v>14</v>
      </c>
      <c r="B91" s="62"/>
      <c r="C91" s="62"/>
      <c r="D91" s="62"/>
      <c r="E91" s="62"/>
      <c r="F91" s="62"/>
      <c r="G91" s="62"/>
      <c r="H91" s="63"/>
      <c r="I91" s="88"/>
      <c r="J91" s="88"/>
    </row>
    <row r="92" customFormat="false" ht="15" hidden="false" customHeight="false" outlineLevel="0" collapsed="false">
      <c r="A92" s="19" t="s">
        <v>15</v>
      </c>
      <c r="B92" s="19"/>
      <c r="C92" s="19" t="s">
        <v>4</v>
      </c>
      <c r="D92" s="19" t="s">
        <v>16</v>
      </c>
      <c r="E92" s="19" t="s">
        <v>51</v>
      </c>
      <c r="F92" s="19" t="s">
        <v>52</v>
      </c>
      <c r="G92" s="19" t="s">
        <v>53</v>
      </c>
      <c r="H92" s="19" t="s">
        <v>20</v>
      </c>
      <c r="I92" s="88"/>
      <c r="J92" s="88"/>
    </row>
    <row r="93" customFormat="false" ht="15" hidden="false" customHeight="false" outlineLevel="0" collapsed="false">
      <c r="A93" s="19"/>
      <c r="B93" s="19" t="s">
        <v>14</v>
      </c>
      <c r="C93" s="19"/>
      <c r="D93" s="19"/>
      <c r="E93" s="19" t="s">
        <v>54</v>
      </c>
      <c r="F93" s="19" t="s">
        <v>55</v>
      </c>
      <c r="G93" s="19" t="s">
        <v>56</v>
      </c>
      <c r="H93" s="19" t="s">
        <v>57</v>
      </c>
      <c r="I93" s="88"/>
      <c r="J93" s="88"/>
    </row>
    <row r="94" customFormat="false" ht="15" hidden="false" customHeight="false" outlineLevel="0" collapsed="false">
      <c r="A94" s="30" t="n">
        <v>1</v>
      </c>
      <c r="B94" s="30" t="s">
        <v>14</v>
      </c>
      <c r="C94" s="32" t="str">
        <f aca="false">C40</f>
        <v>F1</v>
      </c>
      <c r="D94" s="77" t="n">
        <f aca="false">D40</f>
        <v>1</v>
      </c>
      <c r="E94" s="101" t="s">
        <v>88</v>
      </c>
      <c r="F94" s="30" t="n">
        <v>8</v>
      </c>
      <c r="G94" s="30" t="n">
        <v>3.6</v>
      </c>
      <c r="H94" s="33" t="n">
        <f aca="false">G94*F94*D94</f>
        <v>28.8</v>
      </c>
      <c r="I94" s="88"/>
      <c r="J94" s="88"/>
    </row>
    <row r="95" customFormat="false" ht="15" hidden="false" customHeight="false" outlineLevel="0" collapsed="false">
      <c r="A95" s="30" t="n">
        <v>2</v>
      </c>
      <c r="B95" s="30" t="s">
        <v>14</v>
      </c>
      <c r="C95" s="32" t="str">
        <f aca="false">C41</f>
        <v>F2</v>
      </c>
      <c r="D95" s="77" t="n">
        <f aca="false">D41</f>
        <v>3</v>
      </c>
      <c r="E95" s="101" t="s">
        <v>88</v>
      </c>
      <c r="F95" s="30" t="n">
        <v>6</v>
      </c>
      <c r="G95" s="30" t="n">
        <v>3.6</v>
      </c>
      <c r="H95" s="33" t="n">
        <f aca="false">G95*F95*D95</f>
        <v>64.8</v>
      </c>
      <c r="I95" s="88"/>
      <c r="J95" s="88"/>
    </row>
    <row r="96" customFormat="false" ht="15" hidden="false" customHeight="false" outlineLevel="0" collapsed="false">
      <c r="A96" s="19"/>
      <c r="B96" s="19"/>
      <c r="C96" s="51"/>
      <c r="D96" s="51"/>
      <c r="E96" s="19"/>
      <c r="F96" s="19"/>
      <c r="G96" s="19"/>
      <c r="H96" s="89"/>
      <c r="I96" s="56" t="n">
        <f aca="false">SUM(H94:H95)*1.1</f>
        <v>102.96</v>
      </c>
      <c r="J96" s="57" t="s">
        <v>59</v>
      </c>
    </row>
    <row r="97" customFormat="false" ht="15" hidden="false" customHeight="false" outlineLevel="0" collapsed="false">
      <c r="A97" s="88"/>
      <c r="B97" s="88"/>
      <c r="C97" s="88"/>
      <c r="D97" s="88"/>
      <c r="E97" s="88"/>
      <c r="F97" s="88"/>
      <c r="G97" s="88"/>
      <c r="H97" s="88"/>
      <c r="I97" s="88" t="str">
        <f aca="false">H93</f>
        <v>(kg)</v>
      </c>
      <c r="J97" s="104" t="s">
        <v>60</v>
      </c>
    </row>
    <row r="98" customFormat="false" ht="15.75" hidden="false" customHeight="false" outlineLevel="0" collapsed="false">
      <c r="A98" s="61" t="s">
        <v>76</v>
      </c>
      <c r="B98" s="62"/>
      <c r="C98" s="62"/>
      <c r="D98" s="62"/>
      <c r="E98" s="62"/>
      <c r="F98" s="62"/>
      <c r="G98" s="62"/>
      <c r="H98" s="63"/>
      <c r="I98" s="88"/>
      <c r="J98" s="88"/>
    </row>
    <row r="99" customFormat="false" ht="15" hidden="false" customHeight="false" outlineLevel="0" collapsed="false">
      <c r="A99" s="19" t="s">
        <v>15</v>
      </c>
      <c r="B99" s="19"/>
      <c r="C99" s="19" t="s">
        <v>4</v>
      </c>
      <c r="D99" s="19" t="s">
        <v>16</v>
      </c>
      <c r="E99" s="19" t="s">
        <v>29</v>
      </c>
      <c r="F99" s="19" t="s">
        <v>30</v>
      </c>
      <c r="G99" s="19" t="s">
        <v>89</v>
      </c>
      <c r="H99" s="19" t="s">
        <v>20</v>
      </c>
      <c r="I99" s="88"/>
      <c r="J99" s="88"/>
    </row>
    <row r="100" customFormat="false" ht="15" hidden="false" customHeight="false" outlineLevel="0" collapsed="false">
      <c r="A100" s="19"/>
      <c r="B100" s="19" t="s">
        <v>76</v>
      </c>
      <c r="C100" s="19"/>
      <c r="D100" s="19"/>
      <c r="E100" s="19" t="s">
        <v>21</v>
      </c>
      <c r="F100" s="19" t="s">
        <v>21</v>
      </c>
      <c r="G100" s="19" t="s">
        <v>21</v>
      </c>
      <c r="H100" s="19" t="s">
        <v>90</v>
      </c>
      <c r="I100" s="88"/>
      <c r="J100" s="88"/>
    </row>
    <row r="101" customFormat="false" ht="15" hidden="false" customHeight="false" outlineLevel="0" collapsed="false">
      <c r="A101" s="30" t="n">
        <v>1</v>
      </c>
      <c r="B101" s="30" t="s">
        <v>76</v>
      </c>
      <c r="C101" s="76" t="s">
        <v>78</v>
      </c>
      <c r="D101" s="77" t="n">
        <v>3</v>
      </c>
      <c r="E101" s="30" t="n">
        <v>0.54</v>
      </c>
      <c r="F101" s="30" t="n">
        <v>0.28</v>
      </c>
      <c r="G101" s="30" t="n">
        <v>0.024</v>
      </c>
      <c r="H101" s="33" t="n">
        <f aca="false">G101*F101*E101*D101*7850</f>
        <v>85.45824</v>
      </c>
      <c r="I101" s="88"/>
      <c r="J101" s="88"/>
    </row>
    <row r="102" customFormat="false" ht="15" hidden="false" customHeight="false" outlineLevel="0" collapsed="false">
      <c r="A102" s="96"/>
      <c r="B102" s="96"/>
      <c r="C102" s="144"/>
      <c r="D102" s="115"/>
      <c r="E102" s="96"/>
      <c r="F102" s="96"/>
      <c r="G102" s="96"/>
      <c r="H102" s="116"/>
      <c r="I102" s="88"/>
      <c r="J102" s="88"/>
    </row>
    <row r="103" customFormat="false" ht="15" hidden="false" customHeight="false" outlineLevel="0" collapsed="false">
      <c r="A103" s="96"/>
      <c r="B103" s="96"/>
      <c r="C103" s="144"/>
      <c r="D103" s="115"/>
      <c r="E103" s="96"/>
      <c r="F103" s="96"/>
      <c r="G103" s="96"/>
      <c r="H103" s="116"/>
      <c r="I103" s="88"/>
      <c r="J103" s="88"/>
    </row>
    <row r="104" customFormat="false" ht="15" hidden="false" customHeight="false" outlineLevel="0" collapsed="false">
      <c r="A104" s="19"/>
      <c r="B104" s="19"/>
      <c r="C104" s="19"/>
      <c r="D104" s="19"/>
      <c r="E104" s="19"/>
      <c r="F104" s="19"/>
      <c r="G104" s="19"/>
      <c r="H104" s="19"/>
      <c r="I104" s="145" t="n">
        <f aca="false">SUM(H101:H103)*1.1</f>
        <v>94.004064</v>
      </c>
      <c r="J104" s="57" t="str">
        <f aca="false">A98</f>
        <v>BASE PLATE DEADMAN</v>
      </c>
    </row>
    <row r="105" customFormat="false" ht="15" hidden="false" customHeight="false" outlineLevel="0" collapsed="false">
      <c r="I105" s="47" t="str">
        <f aca="false">H100</f>
        <v>(KG)</v>
      </c>
    </row>
    <row r="106" customFormat="false" ht="15" hidden="false" customHeight="false" outlineLevel="0" collapsed="false">
      <c r="C106" s="123"/>
      <c r="D106" s="123"/>
      <c r="E106" s="137"/>
      <c r="F106" s="137"/>
    </row>
    <row r="107" customFormat="false" ht="15" hidden="false" customHeight="false" outlineLevel="0" collapsed="false">
      <c r="C107" s="123"/>
      <c r="D107" s="123"/>
      <c r="E107" s="137"/>
      <c r="F107" s="137"/>
    </row>
    <row r="108" customFormat="false" ht="15" hidden="false" customHeight="false" outlineLevel="0" collapsed="false">
      <c r="C108" s="123"/>
      <c r="D108" s="123"/>
      <c r="E108" s="137"/>
      <c r="F108" s="137"/>
    </row>
    <row r="109" customFormat="false" ht="15" hidden="false" customHeight="false" outlineLevel="0" collapsed="false">
      <c r="C109" s="123"/>
      <c r="D109" s="123"/>
      <c r="E109" s="137"/>
      <c r="F109" s="137"/>
    </row>
  </sheetData>
  <mergeCells count="13">
    <mergeCell ref="A1:H1"/>
    <mergeCell ref="A2:H2"/>
    <mergeCell ref="A3:H3"/>
    <mergeCell ref="C6:E6"/>
    <mergeCell ref="L38:N38"/>
    <mergeCell ref="E59:F59"/>
    <mergeCell ref="E66:F66"/>
    <mergeCell ref="E67:F67"/>
    <mergeCell ref="E68:F68"/>
    <mergeCell ref="E69:F69"/>
    <mergeCell ref="E70:F70"/>
    <mergeCell ref="E87:F87"/>
    <mergeCell ref="E88:F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8" activeCellId="0" sqref="C28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1" width="23.42"/>
    <col collapsed="false" customWidth="true" hidden="false" outlineLevel="0" max="3" min="3" style="1" width="42.86"/>
    <col collapsed="false" customWidth="true" hidden="false" outlineLevel="0" max="4" min="4" style="1" width="13.14"/>
    <col collapsed="false" customWidth="true" hidden="false" outlineLevel="0" max="5" min="5" style="1" width="9.29"/>
    <col collapsed="false" customWidth="true" hidden="false" outlineLevel="0" max="6" min="6" style="1" width="11.99"/>
    <col collapsed="false" customWidth="true" hidden="false" outlineLevel="0" max="7" min="7" style="1" width="9.29"/>
    <col collapsed="false" customWidth="true" hidden="false" outlineLevel="0" max="8" min="8" style="1" width="10"/>
    <col collapsed="false" customWidth="true" hidden="false" outlineLevel="0" max="9" min="9" style="1" width="12.42"/>
    <col collapsed="false" customWidth="true" hidden="false" outlineLevel="0" max="10" min="10" style="1" width="23.42"/>
    <col collapsed="false" customWidth="true" hidden="false" outlineLevel="0" max="11" min="11" style="1" width="2.99"/>
    <col collapsed="false" customWidth="true" hidden="false" outlineLevel="0" max="12" min="12" style="1" width="29.71"/>
    <col collapsed="false" customWidth="true" hidden="false" outlineLevel="0" max="13" min="13" style="1" width="9.42"/>
    <col collapsed="false" customWidth="false" hidden="false" outlineLevel="0" max="1024" min="14" style="1" width="9.14"/>
  </cols>
  <sheetData>
    <row r="1" customFormat="false" ht="21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</row>
    <row r="2" customFormat="false" ht="21" hidden="false" customHeight="false" outlineLevel="0" collapsed="false">
      <c r="A2" s="5" t="s">
        <v>91</v>
      </c>
      <c r="B2" s="5"/>
      <c r="C2" s="5"/>
      <c r="D2" s="5"/>
      <c r="E2" s="5"/>
      <c r="F2" s="5"/>
      <c r="G2" s="5"/>
      <c r="H2" s="5"/>
      <c r="I2" s="6"/>
      <c r="J2" s="6"/>
      <c r="K2" s="7"/>
    </row>
    <row r="3" customFormat="false" ht="15" hidden="false" customHeight="false" outlineLevel="0" collapsed="false">
      <c r="A3" s="8" t="s">
        <v>92</v>
      </c>
      <c r="B3" s="8"/>
      <c r="C3" s="8"/>
      <c r="D3" s="8"/>
      <c r="E3" s="8"/>
      <c r="F3" s="8"/>
      <c r="G3" s="8"/>
      <c r="H3" s="8"/>
    </row>
    <row r="4" customFormat="false" ht="15" hidden="false" customHeight="false" outlineLevel="0" collapsed="false">
      <c r="A4" s="9"/>
      <c r="B4" s="9"/>
      <c r="C4" s="9"/>
      <c r="D4" s="9"/>
      <c r="E4" s="9"/>
      <c r="F4" s="9"/>
      <c r="G4" s="9"/>
      <c r="H4" s="9"/>
    </row>
    <row r="5" customFormat="false" ht="15" hidden="false" customHeight="false" outlineLevel="0" collapsed="false">
      <c r="A5" s="9"/>
      <c r="B5" s="9"/>
      <c r="F5" s="9"/>
      <c r="G5" s="9"/>
      <c r="H5" s="9"/>
    </row>
    <row r="6" customFormat="false" ht="15" hidden="false" customHeight="false" outlineLevel="0" collapsed="false">
      <c r="A6" s="9"/>
      <c r="B6" s="9"/>
      <c r="C6" s="17" t="s">
        <v>93</v>
      </c>
      <c r="D6" s="17"/>
      <c r="E6" s="17"/>
      <c r="F6" s="9"/>
      <c r="G6" s="9"/>
      <c r="H6" s="9"/>
    </row>
    <row r="7" customFormat="false" ht="15" hidden="false" customHeight="false" outlineLevel="0" collapsed="false">
      <c r="A7" s="9"/>
      <c r="B7" s="9"/>
      <c r="C7" s="14" t="s">
        <v>7</v>
      </c>
      <c r="D7" s="15" t="n">
        <f aca="false">SUMIF($B$39:$B$165,C7,$H$39:$H$165)*1.1</f>
        <v>120.425591</v>
      </c>
      <c r="E7" s="16" t="str">
        <f aca="false">INDEX($H$39:$H$165,MATCH(C7,$B$39:$B$165,0))</f>
        <v>(cu-m)</v>
      </c>
      <c r="F7" s="9"/>
      <c r="G7" s="9"/>
      <c r="H7" s="9"/>
    </row>
    <row r="8" customFormat="false" ht="15" hidden="false" customHeight="false" outlineLevel="0" collapsed="false">
      <c r="A8" s="9"/>
      <c r="B8" s="9"/>
      <c r="C8" s="14" t="s">
        <v>8</v>
      </c>
      <c r="D8" s="15" t="n">
        <f aca="false">SUMIF($B$39:$B$165,C8,$H$39:$H$165)*1.1</f>
        <v>6.338189</v>
      </c>
      <c r="E8" s="16" t="str">
        <f aca="false">INDEX($H$39:$H$165,MATCH(C8,$B$39:$B$165,0))</f>
        <v>(cu-m)</v>
      </c>
      <c r="F8" s="9"/>
      <c r="G8" s="9"/>
      <c r="H8" s="9"/>
    </row>
    <row r="9" customFormat="false" ht="15" hidden="false" customHeight="false" outlineLevel="0" collapsed="false">
      <c r="A9" s="9"/>
      <c r="B9" s="9"/>
      <c r="C9" s="20" t="s">
        <v>94</v>
      </c>
      <c r="D9" s="15" t="n">
        <f aca="false">SUMIF($B$39:$B$165,C9,$H$39:$H$165)*1.1</f>
        <v>57.043701</v>
      </c>
      <c r="E9" s="16" t="str">
        <f aca="false">INDEX($H$39:$H$165,MATCH(C9,$B$39:$B$165,0))</f>
        <v>(cu-m)</v>
      </c>
      <c r="F9" s="9"/>
      <c r="G9" s="9"/>
      <c r="H9" s="9"/>
    </row>
    <row r="10" customFormat="false" ht="15" hidden="false" customHeight="false" outlineLevel="0" collapsed="false">
      <c r="A10" s="9"/>
      <c r="B10" s="9"/>
      <c r="C10" s="17" t="s">
        <v>9</v>
      </c>
      <c r="D10" s="18"/>
      <c r="E10" s="19"/>
      <c r="F10" s="9"/>
      <c r="G10" s="9"/>
      <c r="H10" s="9"/>
    </row>
    <row r="11" customFormat="false" ht="15" hidden="false" customHeight="false" outlineLevel="0" collapsed="false">
      <c r="A11" s="9"/>
      <c r="B11" s="9"/>
      <c r="C11" s="20" t="s">
        <v>10</v>
      </c>
      <c r="D11" s="15" t="n">
        <f aca="false">SUMIF($B$39:$B$165,C11,$H$39:$H$165)*1.1</f>
        <v>68.826472</v>
      </c>
      <c r="E11" s="16" t="str">
        <f aca="false">INDEX($H$39:$H$165,MATCH(C11,$B$39:$B$165,0))</f>
        <v>(cu-m)</v>
      </c>
      <c r="F11" s="9"/>
      <c r="G11" s="9"/>
      <c r="H11" s="9"/>
    </row>
    <row r="12" customFormat="false" ht="15" hidden="false" customHeight="false" outlineLevel="0" collapsed="false">
      <c r="A12" s="9"/>
      <c r="B12" s="9"/>
      <c r="C12" s="20" t="s">
        <v>11</v>
      </c>
      <c r="D12" s="15" t="n">
        <f aca="false">SUMIF($B$39:$B$165,C12,$H$39:$H$165)*1.1</f>
        <v>150.97258</v>
      </c>
      <c r="E12" s="16" t="str">
        <f aca="false">INDEX($H$39:$H$165,MATCH(C12,$B$39:$B$165,0))</f>
        <v>(Sq-m)</v>
      </c>
      <c r="F12" s="9"/>
      <c r="G12" s="9"/>
      <c r="H12" s="9"/>
    </row>
    <row r="13" customFormat="false" ht="15" hidden="false" customHeight="false" outlineLevel="0" collapsed="false">
      <c r="A13" s="9"/>
      <c r="B13" s="9"/>
      <c r="C13" s="21" t="s">
        <v>12</v>
      </c>
      <c r="D13" s="15" t="n">
        <f aca="false">SUMIF($B$39:$B$165,C13,$H$39:$H$165)*1.1</f>
        <v>7.57091192</v>
      </c>
      <c r="E13" s="16" t="str">
        <f aca="false">INDEX($H$39:$H$165,MATCH(C13,$B$39:$B$165,0))</f>
        <v>Ton</v>
      </c>
      <c r="F13" s="9"/>
      <c r="G13" s="9"/>
      <c r="H13" s="9"/>
    </row>
    <row r="14" customFormat="false" ht="15" hidden="false" customHeight="false" outlineLevel="0" collapsed="false">
      <c r="A14" s="9"/>
      <c r="B14" s="9"/>
      <c r="C14" s="21" t="s">
        <v>13</v>
      </c>
      <c r="D14" s="15" t="n">
        <f aca="false">SUMIF($B$39:$B$165,C14,$H$39:$H$165)*1.1</f>
        <v>1.1638</v>
      </c>
      <c r="E14" s="16" t="str">
        <f aca="false">INDEX($H$39:$H$165,MATCH(C14,$B$39:$B$165,0))</f>
        <v>(cu-m)</v>
      </c>
      <c r="F14" s="9"/>
      <c r="G14" s="9"/>
      <c r="H14" s="9"/>
    </row>
    <row r="15" customFormat="false" ht="15" hidden="false" customHeight="false" outlineLevel="0" collapsed="false">
      <c r="A15" s="9"/>
      <c r="B15" s="9"/>
      <c r="C15" s="21" t="s">
        <v>95</v>
      </c>
      <c r="D15" s="15" t="n">
        <f aca="false">SUMIF($B$39:$B$165,C15,$H$39:$H$165)*1.1</f>
        <v>48.378</v>
      </c>
      <c r="E15" s="16" t="str">
        <f aca="false">INDEX($H$39:$H$165,MATCH(C15,$B$39:$B$165,0))</f>
        <v>(m)</v>
      </c>
      <c r="F15" s="9"/>
      <c r="G15" s="9"/>
      <c r="H15" s="9"/>
    </row>
    <row r="16" customFormat="false" ht="15" hidden="false" customHeight="false" outlineLevel="0" collapsed="false">
      <c r="A16" s="9"/>
      <c r="B16" s="9"/>
      <c r="C16" s="21" t="s">
        <v>96</v>
      </c>
      <c r="D16" s="15" t="n">
        <f aca="false">SUMIF($B$39:$B$165,C16,$H$39:$H$165)*1.1</f>
        <v>0.88</v>
      </c>
      <c r="E16" s="16" t="s">
        <v>21</v>
      </c>
      <c r="F16" s="9"/>
      <c r="G16" s="9"/>
      <c r="H16" s="9"/>
    </row>
    <row r="17" customFormat="false" ht="15" hidden="false" customHeight="false" outlineLevel="0" collapsed="false">
      <c r="A17" s="9"/>
      <c r="B17" s="9"/>
      <c r="C17" s="21" t="s">
        <v>97</v>
      </c>
      <c r="D17" s="15" t="n">
        <f aca="false">SUMIF($B$39:$B$165,C17,$H$39:$H$165)*1.1</f>
        <v>0.88</v>
      </c>
      <c r="E17" s="16" t="s">
        <v>21</v>
      </c>
      <c r="F17" s="9"/>
      <c r="G17" s="9"/>
      <c r="H17" s="9"/>
    </row>
    <row r="18" customFormat="false" ht="15" hidden="false" customHeight="false" outlineLevel="0" collapsed="false">
      <c r="A18" s="9"/>
      <c r="B18" s="9"/>
      <c r="C18" s="21" t="s">
        <v>98</v>
      </c>
      <c r="D18" s="15" t="n">
        <f aca="false">SUMIF($B$39:$B$165,C18,$H$39:$H$165)*1.1</f>
        <v>2.64</v>
      </c>
      <c r="E18" s="16" t="s">
        <v>21</v>
      </c>
      <c r="F18" s="9"/>
      <c r="G18" s="9"/>
      <c r="H18" s="9"/>
    </row>
    <row r="19" customFormat="false" ht="15" hidden="false" customHeight="false" outlineLevel="0" collapsed="false">
      <c r="A19" s="9"/>
      <c r="B19" s="9"/>
      <c r="C19" s="21" t="s">
        <v>99</v>
      </c>
      <c r="D19" s="15" t="n">
        <f aca="false">SUMIF($B$39:$B$165,C19,$H$39:$H$165)*1.1</f>
        <v>0.88</v>
      </c>
      <c r="E19" s="16" t="s">
        <v>21</v>
      </c>
      <c r="F19" s="9"/>
      <c r="G19" s="9"/>
      <c r="H19" s="9"/>
    </row>
    <row r="20" customFormat="false" ht="15" hidden="false" customHeight="false" outlineLevel="0" collapsed="false">
      <c r="A20" s="9"/>
      <c r="B20" s="9"/>
      <c r="C20" s="21" t="s">
        <v>100</v>
      </c>
      <c r="D20" s="15" t="n">
        <f aca="false">SUMIF($B$39:$B$165,C20,$H$39:$H$165)*1.1</f>
        <v>1.76</v>
      </c>
      <c r="E20" s="16" t="s">
        <v>21</v>
      </c>
      <c r="F20" s="9"/>
      <c r="G20" s="9"/>
      <c r="H20" s="9"/>
    </row>
    <row r="21" customFormat="false" ht="15" hidden="false" customHeight="false" outlineLevel="0" collapsed="false">
      <c r="A21" s="9"/>
      <c r="B21" s="9"/>
      <c r="C21" s="21" t="s">
        <v>101</v>
      </c>
      <c r="D21" s="15" t="n">
        <f aca="false">SUMIF($B$39:$B$165,C21,$H$39:$H$165)*1.1</f>
        <v>0.88</v>
      </c>
      <c r="E21" s="16" t="s">
        <v>21</v>
      </c>
      <c r="F21" s="9"/>
      <c r="G21" s="9"/>
      <c r="H21" s="9"/>
    </row>
    <row r="22" customFormat="false" ht="15" hidden="false" customHeight="false" outlineLevel="0" collapsed="false">
      <c r="A22" s="9"/>
      <c r="B22" s="9"/>
      <c r="C22" s="20" t="s">
        <v>102</v>
      </c>
      <c r="D22" s="15" t="n">
        <f aca="false">SUMIF($B$39:$B$165,C22,$H$39:$H$165)*1.1</f>
        <v>116.5725</v>
      </c>
      <c r="E22" s="16" t="str">
        <f aca="false">INDEX($H$39:$H$165,MATCH(C22,$B$39:$B$165,0))</f>
        <v>(kg)</v>
      </c>
      <c r="F22" s="9"/>
      <c r="G22" s="9"/>
      <c r="H22" s="9"/>
    </row>
    <row r="23" customFormat="false" ht="15" hidden="false" customHeight="false" outlineLevel="0" collapsed="false">
      <c r="A23" s="9"/>
      <c r="B23" s="9"/>
      <c r="C23" s="20" t="s">
        <v>103</v>
      </c>
      <c r="D23" s="15" t="n">
        <f aca="false">SUMIF($B$39:$B$165,C23,$H$39:$H$165)*1.1</f>
        <v>2.856898</v>
      </c>
      <c r="E23" s="16" t="str">
        <f aca="false">INDEX($H$39:$H$165,MATCH(C23,$B$39:$B$165,0))</f>
        <v>(cu-m)</v>
      </c>
      <c r="F23" s="9"/>
      <c r="G23" s="9"/>
      <c r="H23" s="9"/>
    </row>
    <row r="24" customFormat="false" ht="15" hidden="false" customHeight="false" outlineLevel="0" collapsed="false">
      <c r="A24" s="9"/>
      <c r="B24" s="9"/>
      <c r="F24" s="9"/>
      <c r="G24" s="9"/>
      <c r="H24" s="9"/>
    </row>
    <row r="25" customFormat="false" ht="15" hidden="false" customHeight="false" outlineLevel="0" collapsed="false">
      <c r="A25" s="9"/>
      <c r="B25" s="9"/>
      <c r="F25" s="9"/>
      <c r="G25" s="9"/>
      <c r="H25" s="9"/>
    </row>
    <row r="26" customFormat="false" ht="15" hidden="false" customHeight="false" outlineLevel="0" collapsed="false">
      <c r="A26" s="9"/>
      <c r="B26" s="9"/>
      <c r="F26" s="9"/>
      <c r="G26" s="9"/>
      <c r="H26" s="9"/>
    </row>
    <row r="27" customFormat="false" ht="15" hidden="false" customHeight="false" outlineLevel="0" collapsed="false">
      <c r="A27" s="9"/>
      <c r="B27" s="9"/>
      <c r="F27" s="9"/>
      <c r="G27" s="9"/>
      <c r="H27" s="9"/>
    </row>
    <row r="28" customFormat="false" ht="15" hidden="false" customHeight="false" outlineLevel="0" collapsed="false">
      <c r="A28" s="9"/>
      <c r="B28" s="9"/>
      <c r="F28" s="9"/>
      <c r="G28" s="9"/>
      <c r="H28" s="9"/>
    </row>
    <row r="29" customFormat="false" ht="15" hidden="false" customHeight="false" outlineLevel="0" collapsed="false">
      <c r="A29" s="9"/>
      <c r="B29" s="9"/>
      <c r="F29" s="9"/>
      <c r="G29" s="9"/>
      <c r="H29" s="9"/>
    </row>
    <row r="30" customFormat="false" ht="15" hidden="false" customHeight="false" outlineLevel="0" collapsed="false">
      <c r="A30" s="9"/>
      <c r="B30" s="9"/>
      <c r="F30" s="9"/>
      <c r="G30" s="9"/>
      <c r="H30" s="9"/>
    </row>
    <row r="31" customFormat="false" ht="15" hidden="false" customHeight="false" outlineLevel="0" collapsed="false">
      <c r="A31" s="9"/>
      <c r="B31" s="9"/>
      <c r="F31" s="9"/>
      <c r="G31" s="9"/>
      <c r="H31" s="9"/>
    </row>
    <row r="32" customFormat="false" ht="15" hidden="false" customHeight="false" outlineLevel="0" collapsed="false">
      <c r="A32" s="9"/>
      <c r="B32" s="9"/>
      <c r="F32" s="9"/>
      <c r="G32" s="9"/>
      <c r="H32" s="9"/>
    </row>
    <row r="33" customFormat="false" ht="15" hidden="false" customHeight="false" outlineLevel="0" collapsed="false">
      <c r="A33" s="9"/>
      <c r="B33" s="9"/>
      <c r="F33" s="9"/>
      <c r="G33" s="9"/>
      <c r="H33" s="9"/>
    </row>
    <row r="34" customFormat="false" ht="15" hidden="false" customHeight="false" outlineLevel="0" collapsed="false">
      <c r="A34" s="9"/>
      <c r="B34" s="9"/>
      <c r="F34" s="9"/>
      <c r="G34" s="9"/>
      <c r="H34" s="9"/>
    </row>
    <row r="35" customFormat="false" ht="15" hidden="false" customHeight="false" outlineLevel="0" collapsed="false">
      <c r="A35" s="9"/>
      <c r="B35" s="9"/>
      <c r="F35" s="9"/>
      <c r="G35" s="9"/>
      <c r="H35" s="9"/>
    </row>
    <row r="36" customFormat="false" ht="15" hidden="false" customHeight="false" outlineLevel="0" collapsed="false">
      <c r="A36" s="9"/>
      <c r="B36" s="9"/>
      <c r="F36" s="9"/>
      <c r="G36" s="9"/>
      <c r="H36" s="9"/>
    </row>
    <row r="37" customFormat="false" ht="15" hidden="false" customHeight="false" outlineLevel="0" collapsed="false">
      <c r="A37" s="9"/>
      <c r="B37" s="9"/>
      <c r="F37" s="9"/>
      <c r="G37" s="9"/>
      <c r="H37" s="9"/>
    </row>
    <row r="38" customFormat="false" ht="15" hidden="false" customHeight="false" outlineLevel="0" collapsed="false">
      <c r="A38" s="9"/>
      <c r="B38" s="9"/>
      <c r="F38" s="9"/>
      <c r="G38" s="9"/>
      <c r="H38" s="9"/>
    </row>
    <row r="39" customFormat="false" ht="15" hidden="false" customHeight="false" outlineLevel="0" collapsed="false">
      <c r="A39" s="9"/>
      <c r="B39" s="9"/>
      <c r="F39" s="9"/>
      <c r="G39" s="9"/>
      <c r="H39" s="9"/>
    </row>
    <row r="40" customFormat="false" ht="15" hidden="false" customHeight="false" outlineLevel="0" collapsed="false">
      <c r="A40" s="9"/>
      <c r="B40" s="9"/>
      <c r="F40" s="9"/>
      <c r="G40" s="9"/>
      <c r="H40" s="9"/>
    </row>
    <row r="41" customFormat="false" ht="15" hidden="false" customHeight="false" outlineLevel="0" collapsed="false">
      <c r="A41" s="9"/>
      <c r="B41" s="9"/>
      <c r="C41" s="9"/>
      <c r="D41" s="9"/>
      <c r="E41" s="9"/>
      <c r="F41" s="9"/>
      <c r="G41" s="9"/>
      <c r="H41" s="9"/>
    </row>
    <row r="42" customFormat="false" ht="16.5" hidden="false" customHeight="false" outlineLevel="0" collapsed="false">
      <c r="A42" s="22" t="s">
        <v>7</v>
      </c>
      <c r="B42" s="23"/>
      <c r="C42" s="23"/>
      <c r="D42" s="23"/>
      <c r="E42" s="23"/>
      <c r="F42" s="23"/>
      <c r="G42" s="23"/>
      <c r="H42" s="24"/>
    </row>
    <row r="43" customFormat="false" ht="15.75" hidden="false" customHeight="false" outlineLevel="0" collapsed="false">
      <c r="A43" s="108" t="s">
        <v>15</v>
      </c>
      <c r="B43" s="109"/>
      <c r="C43" s="110" t="s">
        <v>4</v>
      </c>
      <c r="D43" s="110" t="s">
        <v>16</v>
      </c>
      <c r="E43" s="110" t="s">
        <v>17</v>
      </c>
      <c r="F43" s="110" t="s">
        <v>18</v>
      </c>
      <c r="G43" s="110" t="s">
        <v>19</v>
      </c>
      <c r="H43" s="111" t="s">
        <v>20</v>
      </c>
      <c r="L43" s="17" t="s">
        <v>93</v>
      </c>
      <c r="M43" s="17"/>
      <c r="N43" s="17"/>
    </row>
    <row r="44" customFormat="false" ht="15" hidden="false" customHeight="false" outlineLevel="0" collapsed="false">
      <c r="A44" s="112"/>
      <c r="B44" s="30" t="str">
        <f aca="false">$A$42</f>
        <v>EXCAVATION</v>
      </c>
      <c r="C44" s="113"/>
      <c r="D44" s="112"/>
      <c r="E44" s="112" t="s">
        <v>21</v>
      </c>
      <c r="F44" s="112" t="s">
        <v>21</v>
      </c>
      <c r="G44" s="112" t="s">
        <v>21</v>
      </c>
      <c r="H44" s="112" t="s">
        <v>22</v>
      </c>
      <c r="L44" s="20" t="str">
        <f aca="false">A42</f>
        <v>EXCAVATION</v>
      </c>
      <c r="M44" s="146" t="n">
        <f aca="false">I53</f>
        <v>120.425591</v>
      </c>
      <c r="N44" s="19" t="s">
        <v>24</v>
      </c>
    </row>
    <row r="45" customFormat="false" ht="15" hidden="false" customHeight="false" outlineLevel="0" collapsed="false">
      <c r="A45" s="30" t="n">
        <v>1</v>
      </c>
      <c r="B45" s="30" t="str">
        <f aca="false">$A$42</f>
        <v>EXCAVATION</v>
      </c>
      <c r="C45" s="32" t="s">
        <v>104</v>
      </c>
      <c r="D45" s="30" t="n">
        <f aca="false">1</f>
        <v>1</v>
      </c>
      <c r="E45" s="30" t="n">
        <f aca="false">16.36+0.15</f>
        <v>16.51</v>
      </c>
      <c r="F45" s="30" t="n">
        <f aca="false">6.83+0.15</f>
        <v>6.98</v>
      </c>
      <c r="G45" s="30" t="n">
        <f aca="false">0.5+0.45</f>
        <v>0.95</v>
      </c>
      <c r="H45" s="33" t="n">
        <f aca="false">D45*E45*F45*G45</f>
        <v>109.47781</v>
      </c>
      <c r="I45" s="34"/>
      <c r="J45" s="35"/>
      <c r="L45" s="20" t="str">
        <f aca="false">A68</f>
        <v>CC 1 : 4 : 8</v>
      </c>
      <c r="M45" s="146" t="n">
        <f aca="false">I76</f>
        <v>6.338189</v>
      </c>
      <c r="N45" s="19" t="s">
        <v>24</v>
      </c>
    </row>
    <row r="46" customFormat="false" ht="15" hidden="false" customHeight="false" outlineLevel="0" collapsed="false">
      <c r="A46" s="20"/>
      <c r="B46" s="20"/>
      <c r="C46" s="39"/>
      <c r="D46" s="20"/>
      <c r="E46" s="21"/>
      <c r="F46" s="21"/>
      <c r="G46" s="20"/>
      <c r="H46" s="40"/>
      <c r="I46" s="34"/>
      <c r="J46" s="35"/>
      <c r="L46" s="17" t="s">
        <v>9</v>
      </c>
      <c r="M46" s="18"/>
      <c r="N46" s="19"/>
    </row>
    <row r="47" customFormat="false" ht="15" hidden="false" customHeight="false" outlineLevel="0" collapsed="false">
      <c r="A47" s="20"/>
      <c r="B47" s="20"/>
      <c r="C47" s="39"/>
      <c r="D47" s="20"/>
      <c r="E47" s="20"/>
      <c r="F47" s="20"/>
      <c r="G47" s="20"/>
      <c r="H47" s="40"/>
      <c r="I47" s="34"/>
      <c r="J47" s="35"/>
      <c r="L47" s="20" t="str">
        <f aca="false">A78</f>
        <v>RCC 3750 PSI</v>
      </c>
      <c r="M47" s="41" t="n">
        <f aca="false">I86</f>
        <v>68.826472</v>
      </c>
      <c r="N47" s="19" t="s">
        <v>24</v>
      </c>
    </row>
    <row r="48" customFormat="false" ht="15" hidden="false" customHeight="false" outlineLevel="0" collapsed="false">
      <c r="A48" s="20"/>
      <c r="B48" s="20"/>
      <c r="C48" s="39"/>
      <c r="D48" s="20"/>
      <c r="E48" s="14"/>
      <c r="F48" s="14"/>
      <c r="G48" s="20"/>
      <c r="H48" s="40"/>
      <c r="L48" s="20" t="str">
        <f aca="false">A88</f>
        <v>BITUMEN COATING</v>
      </c>
      <c r="M48" s="41" t="n">
        <f aca="false">I94</f>
        <v>150.97258</v>
      </c>
      <c r="N48" s="19" t="s">
        <v>25</v>
      </c>
    </row>
    <row r="49" customFormat="false" ht="15" hidden="false" customHeight="false" outlineLevel="0" collapsed="false">
      <c r="A49" s="20"/>
      <c r="B49" s="20"/>
      <c r="C49" s="39"/>
      <c r="D49" s="20"/>
      <c r="E49" s="43"/>
      <c r="F49" s="43"/>
      <c r="G49" s="21"/>
      <c r="H49" s="40"/>
      <c r="L49" s="20" t="e">
        <f aca="false">#REF!</f>
        <v>#REF!</v>
      </c>
      <c r="M49" s="41" t="e">
        <f aca="false">#REF!</f>
        <v>#REF!</v>
      </c>
      <c r="N49" s="19" t="s">
        <v>25</v>
      </c>
    </row>
    <row r="50" s="46" customFormat="true" ht="15" hidden="false" customHeight="false" outlineLevel="0" collapsed="false">
      <c r="A50" s="96"/>
      <c r="B50" s="96"/>
      <c r="C50" s="97"/>
      <c r="D50" s="96"/>
      <c r="E50" s="115"/>
      <c r="F50" s="115"/>
      <c r="G50" s="115"/>
      <c r="H50" s="116"/>
      <c r="J50" s="47"/>
      <c r="K50" s="47"/>
      <c r="L50" s="21" t="str">
        <f aca="false">A97</f>
        <v>REINFORCEMENT</v>
      </c>
      <c r="M50" s="44" t="n">
        <f aca="false">I103</f>
        <v>7.57091192</v>
      </c>
      <c r="N50" s="45" t="s">
        <v>26</v>
      </c>
    </row>
    <row r="51" customFormat="false" ht="15" hidden="false" customHeight="false" outlineLevel="0" collapsed="false">
      <c r="A51" s="96"/>
      <c r="B51" s="117"/>
      <c r="C51" s="118"/>
      <c r="D51" s="96"/>
      <c r="E51" s="96"/>
      <c r="F51" s="96"/>
      <c r="G51" s="116"/>
      <c r="H51" s="116"/>
      <c r="L51" s="20" t="str">
        <f aca="false">A106</f>
        <v>CEMENTITIOUS GROUT G1</v>
      </c>
      <c r="M51" s="49" t="n">
        <f aca="false">I112</f>
        <v>1.1638</v>
      </c>
      <c r="N51" s="19" t="s">
        <v>24</v>
      </c>
    </row>
    <row r="52" customFormat="false" ht="15" hidden="false" customHeight="false" outlineLevel="0" collapsed="false">
      <c r="A52" s="96"/>
      <c r="B52" s="96"/>
      <c r="C52" s="119"/>
      <c r="D52" s="96"/>
      <c r="E52" s="120"/>
      <c r="F52" s="120"/>
      <c r="G52" s="120"/>
      <c r="H52" s="121"/>
      <c r="L52" s="20" t="str">
        <f aca="false">A130</f>
        <v>PUDDLE FLANGE MS PIPE</v>
      </c>
      <c r="M52" s="146" t="n">
        <f aca="false">I140</f>
        <v>7.92</v>
      </c>
      <c r="N52" s="19" t="s">
        <v>27</v>
      </c>
    </row>
    <row r="53" customFormat="false" ht="15" hidden="false" customHeight="false" outlineLevel="0" collapsed="false">
      <c r="A53" s="117"/>
      <c r="B53" s="117"/>
      <c r="C53" s="122"/>
      <c r="D53" s="117"/>
      <c r="E53" s="123"/>
      <c r="F53" s="123"/>
      <c r="G53" s="123"/>
      <c r="H53" s="124"/>
      <c r="I53" s="56" t="n">
        <f aca="false">SUM(H45:H52)*1.1</f>
        <v>120.425591</v>
      </c>
      <c r="J53" s="57" t="s">
        <v>28</v>
      </c>
      <c r="K53" s="58"/>
      <c r="L53" s="96" t="e">
        <f aca="false">#REF!</f>
        <v>#REF!</v>
      </c>
      <c r="M53" s="147" t="e">
        <f aca="false">#REF!</f>
        <v>#REF!</v>
      </c>
      <c r="N53" s="96" t="e">
        <f aca="false">#REF!</f>
        <v>#REF!</v>
      </c>
    </row>
    <row r="54" customFormat="false" ht="15" hidden="false" customHeight="false" outlineLevel="0" collapsed="false">
      <c r="A54" s="117"/>
      <c r="B54" s="117"/>
      <c r="C54" s="122"/>
      <c r="D54" s="117"/>
      <c r="E54" s="123"/>
      <c r="F54" s="123"/>
      <c r="G54" s="123"/>
      <c r="H54" s="124"/>
      <c r="I54" s="55"/>
      <c r="J54" s="55"/>
      <c r="K54" s="58"/>
      <c r="L54" s="20" t="e">
        <f aca="false">#REF!</f>
        <v>#REF!</v>
      </c>
      <c r="M54" s="49" t="e">
        <f aca="false">(#REF!+#REF!)/1000</f>
        <v>#REF!</v>
      </c>
      <c r="N54" s="19" t="s">
        <v>105</v>
      </c>
    </row>
    <row r="55" customFormat="false" ht="15" hidden="false" customHeight="false" outlineLevel="0" collapsed="false">
      <c r="A55" s="117"/>
      <c r="B55" s="117"/>
      <c r="C55" s="122"/>
      <c r="D55" s="117"/>
      <c r="E55" s="123"/>
      <c r="F55" s="123"/>
      <c r="G55" s="123"/>
      <c r="H55" s="124"/>
      <c r="I55" s="55"/>
      <c r="J55" s="55"/>
      <c r="K55" s="58"/>
      <c r="L55" s="55"/>
      <c r="M55" s="55"/>
      <c r="N55" s="9"/>
    </row>
    <row r="56" customFormat="false" ht="15.75" hidden="false" customHeight="false" outlineLevel="0" collapsed="false">
      <c r="A56" s="61" t="s">
        <v>94</v>
      </c>
      <c r="B56" s="62"/>
      <c r="C56" s="62"/>
      <c r="D56" s="62"/>
      <c r="E56" s="62"/>
      <c r="F56" s="62"/>
      <c r="G56" s="62"/>
      <c r="H56" s="63"/>
      <c r="K56" s="58"/>
      <c r="L56" s="55"/>
      <c r="M56" s="55"/>
      <c r="N56" s="9"/>
    </row>
    <row r="57" customFormat="false" ht="15" hidden="false" customHeight="false" outlineLevel="0" collapsed="false">
      <c r="A57" s="19" t="s">
        <v>15</v>
      </c>
      <c r="B57" s="19"/>
      <c r="C57" s="19" t="s">
        <v>4</v>
      </c>
      <c r="D57" s="19" t="s">
        <v>16</v>
      </c>
      <c r="E57" s="19" t="s">
        <v>29</v>
      </c>
      <c r="F57" s="19" t="s">
        <v>30</v>
      </c>
      <c r="G57" s="19" t="s">
        <v>19</v>
      </c>
      <c r="H57" s="19" t="s">
        <v>20</v>
      </c>
      <c r="K57" s="58"/>
      <c r="L57" s="55"/>
      <c r="M57" s="55"/>
      <c r="N57" s="9"/>
    </row>
    <row r="58" customFormat="false" ht="15" hidden="false" customHeight="false" outlineLevel="0" collapsed="false">
      <c r="A58" s="19"/>
      <c r="B58" s="20" t="s">
        <v>94</v>
      </c>
      <c r="C58" s="19"/>
      <c r="D58" s="19"/>
      <c r="E58" s="19" t="s">
        <v>21</v>
      </c>
      <c r="F58" s="19" t="s">
        <v>21</v>
      </c>
      <c r="G58" s="19" t="s">
        <v>21</v>
      </c>
      <c r="H58" s="19" t="s">
        <v>22</v>
      </c>
      <c r="K58" s="58"/>
      <c r="L58" s="55"/>
      <c r="M58" s="55"/>
      <c r="N58" s="9"/>
    </row>
    <row r="59" customFormat="false" ht="15" hidden="false" customHeight="false" outlineLevel="0" collapsed="false">
      <c r="A59" s="30" t="n">
        <v>1</v>
      </c>
      <c r="B59" s="20" t="s">
        <v>94</v>
      </c>
      <c r="C59" s="32" t="str">
        <f aca="false">A56</f>
        <v>SAND FILL</v>
      </c>
      <c r="D59" s="77" t="n">
        <f aca="false">D45</f>
        <v>1</v>
      </c>
      <c r="E59" s="77" t="n">
        <f aca="false">E45</f>
        <v>16.51</v>
      </c>
      <c r="F59" s="77" t="n">
        <f aca="false">F45</f>
        <v>6.98</v>
      </c>
      <c r="G59" s="77" t="n">
        <v>0.45</v>
      </c>
      <c r="H59" s="33" t="n">
        <f aca="false">D59*E59*F59*G59</f>
        <v>51.85791</v>
      </c>
      <c r="J59" s="54"/>
      <c r="K59" s="58"/>
      <c r="L59" s="55"/>
      <c r="M59" s="55"/>
      <c r="N59" s="9"/>
    </row>
    <row r="60" customFormat="false" ht="15" hidden="false" customHeight="false" outlineLevel="0" collapsed="false">
      <c r="A60" s="20"/>
      <c r="B60" s="20"/>
      <c r="C60" s="39"/>
      <c r="D60" s="21"/>
      <c r="E60" s="21"/>
      <c r="F60" s="21"/>
      <c r="G60" s="20"/>
      <c r="H60" s="40"/>
      <c r="J60" s="54"/>
      <c r="K60" s="58"/>
      <c r="L60" s="55"/>
      <c r="M60" s="55"/>
      <c r="N60" s="9"/>
    </row>
    <row r="61" customFormat="false" ht="15" hidden="false" customHeight="false" outlineLevel="0" collapsed="false">
      <c r="A61" s="20"/>
      <c r="B61" s="20"/>
      <c r="C61" s="39"/>
      <c r="D61" s="21"/>
      <c r="E61" s="21"/>
      <c r="F61" s="21"/>
      <c r="G61" s="20"/>
      <c r="H61" s="40"/>
      <c r="J61" s="54"/>
      <c r="K61" s="58"/>
      <c r="L61" s="55"/>
      <c r="M61" s="55"/>
      <c r="N61" s="9"/>
    </row>
    <row r="62" customFormat="false" ht="15" hidden="false" customHeight="false" outlineLevel="0" collapsed="false">
      <c r="A62" s="20"/>
      <c r="B62" s="20"/>
      <c r="C62" s="39"/>
      <c r="D62" s="21"/>
      <c r="E62" s="21"/>
      <c r="F62" s="21"/>
      <c r="G62" s="20"/>
      <c r="H62" s="40"/>
      <c r="J62" s="54"/>
      <c r="K62" s="58"/>
      <c r="L62" s="55"/>
      <c r="M62" s="55"/>
      <c r="N62" s="9"/>
    </row>
    <row r="63" customFormat="false" ht="15" hidden="false" customHeight="false" outlineLevel="0" collapsed="false">
      <c r="A63" s="20"/>
      <c r="B63" s="20"/>
      <c r="C63" s="39"/>
      <c r="D63" s="21"/>
      <c r="E63" s="21"/>
      <c r="F63" s="21"/>
      <c r="G63" s="20"/>
      <c r="H63" s="40"/>
      <c r="J63" s="54"/>
      <c r="K63" s="58"/>
      <c r="L63" s="55"/>
      <c r="M63" s="55"/>
      <c r="N63" s="9"/>
    </row>
    <row r="64" customFormat="false" ht="15" hidden="false" customHeight="false" outlineLevel="0" collapsed="false">
      <c r="A64" s="9"/>
      <c r="B64" s="9"/>
      <c r="C64" s="53"/>
      <c r="D64" s="9"/>
      <c r="E64" s="54"/>
      <c r="F64" s="54"/>
      <c r="G64" s="54"/>
      <c r="H64" s="55"/>
      <c r="I64" s="44" t="n">
        <f aca="false">SUM(H59:H63)*1.1</f>
        <v>57.043701</v>
      </c>
      <c r="J64" s="57" t="s">
        <v>8</v>
      </c>
      <c r="K64" s="58"/>
      <c r="L64" s="55"/>
      <c r="M64" s="55"/>
      <c r="N64" s="9"/>
    </row>
    <row r="65" customFormat="false" ht="15" hidden="false" customHeight="false" outlineLevel="0" collapsed="false">
      <c r="A65" s="117"/>
      <c r="B65" s="117"/>
      <c r="C65" s="122"/>
      <c r="D65" s="117"/>
      <c r="E65" s="123"/>
      <c r="F65" s="123"/>
      <c r="G65" s="123"/>
      <c r="H65" s="124"/>
      <c r="I65" s="55"/>
      <c r="J65" s="55"/>
      <c r="K65" s="58"/>
      <c r="L65" s="55"/>
      <c r="M65" s="55"/>
      <c r="N65" s="9"/>
    </row>
    <row r="66" customFormat="false" ht="15" hidden="false" customHeight="false" outlineLevel="0" collapsed="false">
      <c r="A66" s="117"/>
      <c r="B66" s="117"/>
      <c r="C66" s="122"/>
      <c r="D66" s="117"/>
      <c r="E66" s="123"/>
      <c r="F66" s="123"/>
      <c r="G66" s="123"/>
      <c r="H66" s="124"/>
      <c r="I66" s="55"/>
      <c r="J66" s="55"/>
      <c r="K66" s="58"/>
      <c r="L66" s="55"/>
      <c r="M66" s="55"/>
      <c r="N66" s="9"/>
    </row>
    <row r="67" customFormat="false" ht="15" hidden="false" customHeight="false" outlineLevel="0" collapsed="false">
      <c r="A67" s="117"/>
      <c r="B67" s="117"/>
      <c r="C67" s="122"/>
      <c r="D67" s="117"/>
      <c r="E67" s="123"/>
      <c r="F67" s="123"/>
      <c r="G67" s="123"/>
      <c r="H67" s="124"/>
      <c r="I67" s="60"/>
      <c r="J67" s="58"/>
      <c r="K67" s="58"/>
    </row>
    <row r="68" customFormat="false" ht="15.75" hidden="false" customHeight="false" outlineLevel="0" collapsed="false">
      <c r="A68" s="61" t="s">
        <v>8</v>
      </c>
      <c r="B68" s="62"/>
      <c r="C68" s="62"/>
      <c r="D68" s="62"/>
      <c r="E68" s="62"/>
      <c r="F68" s="62"/>
      <c r="G68" s="62"/>
      <c r="H68" s="63"/>
      <c r="L68" s="9"/>
      <c r="M68" s="64"/>
      <c r="N68" s="9"/>
    </row>
    <row r="69" customFormat="false" ht="15" hidden="false" customHeight="false" outlineLevel="0" collapsed="false">
      <c r="A69" s="19" t="s">
        <v>15</v>
      </c>
      <c r="B69" s="19"/>
      <c r="C69" s="19" t="s">
        <v>4</v>
      </c>
      <c r="D69" s="19" t="s">
        <v>16</v>
      </c>
      <c r="E69" s="19" t="s">
        <v>29</v>
      </c>
      <c r="F69" s="19" t="s">
        <v>30</v>
      </c>
      <c r="G69" s="19" t="s">
        <v>19</v>
      </c>
      <c r="H69" s="19" t="s">
        <v>20</v>
      </c>
      <c r="L69" s="9"/>
      <c r="M69" s="64"/>
      <c r="N69" s="9"/>
    </row>
    <row r="70" customFormat="false" ht="15" hidden="false" customHeight="false" outlineLevel="0" collapsed="false">
      <c r="A70" s="19"/>
      <c r="B70" s="30" t="str">
        <f aca="false">$A$68</f>
        <v>CC 1 : 4 : 8</v>
      </c>
      <c r="C70" s="19"/>
      <c r="D70" s="19"/>
      <c r="E70" s="19" t="s">
        <v>21</v>
      </c>
      <c r="F70" s="19" t="s">
        <v>21</v>
      </c>
      <c r="G70" s="19" t="s">
        <v>21</v>
      </c>
      <c r="H70" s="19" t="s">
        <v>22</v>
      </c>
      <c r="L70" s="9"/>
    </row>
    <row r="71" customFormat="false" ht="15" hidden="false" customHeight="false" outlineLevel="0" collapsed="false">
      <c r="A71" s="30" t="n">
        <v>1</v>
      </c>
      <c r="B71" s="30" t="str">
        <f aca="false">$A$68</f>
        <v>CC 1 : 4 : 8</v>
      </c>
      <c r="C71" s="32" t="str">
        <f aca="false">C45</f>
        <v>COOLING TOWER</v>
      </c>
      <c r="D71" s="77" t="n">
        <f aca="false">D45</f>
        <v>1</v>
      </c>
      <c r="E71" s="77" t="n">
        <f aca="false">E45</f>
        <v>16.51</v>
      </c>
      <c r="F71" s="77" t="n">
        <f aca="false">F45</f>
        <v>6.98</v>
      </c>
      <c r="G71" s="77" t="n">
        <v>0.05</v>
      </c>
      <c r="H71" s="33" t="n">
        <f aca="false">D71*E71*F71*G71</f>
        <v>5.76199</v>
      </c>
      <c r="J71" s="54"/>
      <c r="K71" s="54"/>
      <c r="L71" s="55"/>
    </row>
    <row r="72" customFormat="false" ht="15" hidden="false" customHeight="false" outlineLevel="0" collapsed="false">
      <c r="A72" s="20"/>
      <c r="B72" s="20"/>
      <c r="C72" s="39"/>
      <c r="D72" s="21"/>
      <c r="E72" s="21"/>
      <c r="F72" s="21"/>
      <c r="G72" s="20"/>
      <c r="H72" s="40"/>
      <c r="J72" s="54"/>
      <c r="K72" s="54"/>
      <c r="L72" s="55"/>
    </row>
    <row r="73" customFormat="false" ht="15" hidden="false" customHeight="false" outlineLevel="0" collapsed="false">
      <c r="A73" s="20"/>
      <c r="B73" s="20"/>
      <c r="C73" s="39"/>
      <c r="D73" s="21"/>
      <c r="E73" s="21"/>
      <c r="F73" s="21"/>
      <c r="G73" s="20"/>
      <c r="H73" s="40"/>
      <c r="J73" s="54"/>
      <c r="K73" s="54"/>
      <c r="L73" s="55"/>
    </row>
    <row r="74" customFormat="false" ht="15" hidden="false" customHeight="false" outlineLevel="0" collapsed="false">
      <c r="A74" s="20"/>
      <c r="B74" s="20"/>
      <c r="C74" s="39"/>
      <c r="D74" s="21"/>
      <c r="E74" s="21"/>
      <c r="F74" s="21"/>
      <c r="G74" s="20"/>
      <c r="H74" s="40"/>
      <c r="J74" s="54"/>
      <c r="K74" s="54"/>
      <c r="L74" s="55"/>
    </row>
    <row r="75" customFormat="false" ht="15" hidden="false" customHeight="false" outlineLevel="0" collapsed="false">
      <c r="A75" s="20"/>
      <c r="B75" s="20"/>
      <c r="C75" s="39"/>
      <c r="D75" s="21"/>
      <c r="E75" s="21"/>
      <c r="F75" s="21"/>
      <c r="G75" s="20"/>
      <c r="H75" s="40"/>
      <c r="J75" s="54"/>
      <c r="K75" s="54"/>
      <c r="L75" s="55"/>
    </row>
    <row r="76" customFormat="false" ht="15" hidden="false" customHeight="false" outlineLevel="0" collapsed="false">
      <c r="A76" s="9"/>
      <c r="B76" s="9"/>
      <c r="C76" s="53"/>
      <c r="D76" s="9"/>
      <c r="E76" s="54"/>
      <c r="F76" s="54"/>
      <c r="G76" s="54"/>
      <c r="H76" s="55"/>
      <c r="I76" s="44" t="n">
        <f aca="false">SUM(H71:H75)*1.1</f>
        <v>6.338189</v>
      </c>
      <c r="J76" s="57" t="s">
        <v>8</v>
      </c>
    </row>
    <row r="77" customFormat="false" ht="15" hidden="false" customHeight="false" outlineLevel="0" collapsed="false">
      <c r="A77" s="9"/>
      <c r="B77" s="9"/>
      <c r="C77" s="53"/>
      <c r="D77" s="9"/>
      <c r="E77" s="54"/>
      <c r="F77" s="54"/>
      <c r="G77" s="54"/>
      <c r="H77" s="55"/>
      <c r="I77" s="74"/>
      <c r="J77" s="58"/>
      <c r="K77" s="58"/>
      <c r="M77" s="58"/>
    </row>
    <row r="78" customFormat="false" ht="15.75" hidden="false" customHeight="false" outlineLevel="0" collapsed="false">
      <c r="A78" s="61" t="s">
        <v>10</v>
      </c>
      <c r="B78" s="62"/>
      <c r="C78" s="62"/>
      <c r="D78" s="62"/>
      <c r="E78" s="62"/>
      <c r="F78" s="62"/>
      <c r="G78" s="62"/>
      <c r="H78" s="63"/>
      <c r="I78" s="54"/>
    </row>
    <row r="79" customFormat="false" ht="15" hidden="false" customHeight="false" outlineLevel="0" collapsed="false">
      <c r="A79" s="19" t="s">
        <v>15</v>
      </c>
      <c r="B79" s="19"/>
      <c r="C79" s="19" t="s">
        <v>4</v>
      </c>
      <c r="D79" s="19" t="s">
        <v>16</v>
      </c>
      <c r="E79" s="19" t="s">
        <v>29</v>
      </c>
      <c r="F79" s="19" t="s">
        <v>30</v>
      </c>
      <c r="G79" s="19" t="s">
        <v>19</v>
      </c>
      <c r="H79" s="19" t="s">
        <v>20</v>
      </c>
      <c r="I79" s="54"/>
    </row>
    <row r="80" customFormat="false" ht="15" hidden="false" customHeight="false" outlineLevel="0" collapsed="false">
      <c r="A80" s="19"/>
      <c r="B80" s="30" t="str">
        <f aca="false">$A$78</f>
        <v>RCC 3750 PSI</v>
      </c>
      <c r="C80" s="125" t="s">
        <v>79</v>
      </c>
      <c r="D80" s="45"/>
      <c r="E80" s="45" t="s">
        <v>21</v>
      </c>
      <c r="F80" s="45" t="s">
        <v>21</v>
      </c>
      <c r="G80" s="45" t="s">
        <v>21</v>
      </c>
      <c r="H80" s="45" t="s">
        <v>22</v>
      </c>
      <c r="I80" s="54"/>
    </row>
    <row r="81" customFormat="false" ht="15" hidden="false" customHeight="false" outlineLevel="0" collapsed="false">
      <c r="A81" s="30" t="n">
        <v>1</v>
      </c>
      <c r="B81" s="30" t="str">
        <f aca="false">$A$78</f>
        <v>RCC 3750 PSI</v>
      </c>
      <c r="C81" s="32" t="str">
        <f aca="false">C45</f>
        <v>COOLING TOWER</v>
      </c>
      <c r="D81" s="77" t="n">
        <f aca="false">1</f>
        <v>1</v>
      </c>
      <c r="E81" s="67" t="n">
        <f aca="false">E59-0.15</f>
        <v>16.36</v>
      </c>
      <c r="F81" s="67" t="n">
        <f aca="false">F59-0.15</f>
        <v>6.83</v>
      </c>
      <c r="G81" s="30" t="n">
        <v>0.4</v>
      </c>
      <c r="H81" s="33" t="n">
        <f aca="false">D81*E81*F81*G81</f>
        <v>44.69552</v>
      </c>
      <c r="I81" s="54"/>
    </row>
    <row r="82" customFormat="false" ht="15" hidden="false" customHeight="false" outlineLevel="0" collapsed="false">
      <c r="A82" s="96"/>
      <c r="B82" s="96"/>
      <c r="C82" s="125" t="s">
        <v>80</v>
      </c>
      <c r="D82" s="96"/>
      <c r="E82" s="96"/>
      <c r="F82" s="96"/>
      <c r="G82" s="96"/>
      <c r="H82" s="128"/>
      <c r="I82" s="54"/>
    </row>
    <row r="83" customFormat="false" ht="15" hidden="false" customHeight="false" outlineLevel="0" collapsed="false">
      <c r="A83" s="30" t="n">
        <v>1</v>
      </c>
      <c r="B83" s="30" t="str">
        <f aca="false">$A$78</f>
        <v>RCC 3750 PSI</v>
      </c>
      <c r="C83" s="32" t="s">
        <v>106</v>
      </c>
      <c r="D83" s="30" t="n">
        <f aca="false">1</f>
        <v>1</v>
      </c>
      <c r="E83" s="141" t="n">
        <f aca="false">0.2*1.5</f>
        <v>0.3</v>
      </c>
      <c r="F83" s="141"/>
      <c r="G83" s="30" t="n">
        <f aca="false">2*15.76+2*6.23</f>
        <v>43.98</v>
      </c>
      <c r="H83" s="67" t="n">
        <f aca="false">D83*E83*G83</f>
        <v>13.194</v>
      </c>
      <c r="I83" s="54"/>
    </row>
    <row r="84" customFormat="false" ht="15" hidden="false" customHeight="false" outlineLevel="0" collapsed="false">
      <c r="A84" s="30" t="n">
        <v>2</v>
      </c>
      <c r="B84" s="30" t="str">
        <f aca="false">$A$78</f>
        <v>RCC 3750 PSI</v>
      </c>
      <c r="C84" s="148" t="s">
        <v>107</v>
      </c>
      <c r="D84" s="30" t="n">
        <f aca="false">40</f>
        <v>40</v>
      </c>
      <c r="E84" s="30" t="n">
        <v>0.3</v>
      </c>
      <c r="F84" s="30" t="n">
        <v>0.3</v>
      </c>
      <c r="G84" s="30" t="n">
        <v>1.3</v>
      </c>
      <c r="H84" s="33" t="n">
        <f aca="false">D84*E84*F84*G84</f>
        <v>4.68</v>
      </c>
      <c r="I84" s="54"/>
    </row>
    <row r="85" customFormat="false" ht="15" hidden="false" customHeight="false" outlineLevel="0" collapsed="false">
      <c r="A85" s="20"/>
      <c r="B85" s="20"/>
      <c r="C85" s="68"/>
      <c r="D85" s="21"/>
      <c r="E85" s="20"/>
      <c r="F85" s="20"/>
      <c r="G85" s="20"/>
      <c r="H85" s="71"/>
      <c r="I85" s="54"/>
    </row>
    <row r="86" customFormat="false" ht="15" hidden="false" customHeight="false" outlineLevel="0" collapsed="false">
      <c r="A86" s="9"/>
      <c r="B86" s="9"/>
      <c r="C86" s="53"/>
      <c r="D86" s="9"/>
      <c r="E86" s="54"/>
      <c r="F86" s="54"/>
      <c r="G86" s="54"/>
      <c r="H86" s="55"/>
      <c r="I86" s="72" t="n">
        <f aca="false">SUM(H81:H86)*1.1</f>
        <v>68.826472</v>
      </c>
      <c r="J86" s="73" t="s">
        <v>10</v>
      </c>
      <c r="K86" s="58"/>
    </row>
    <row r="87" customFormat="false" ht="15" hidden="false" customHeight="false" outlineLevel="0" collapsed="false">
      <c r="A87" s="9"/>
      <c r="B87" s="9"/>
      <c r="C87" s="53"/>
      <c r="D87" s="9"/>
      <c r="E87" s="54"/>
      <c r="F87" s="54"/>
      <c r="G87" s="54"/>
      <c r="H87" s="55"/>
      <c r="I87" s="74"/>
      <c r="J87" s="58"/>
      <c r="K87" s="58"/>
    </row>
    <row r="88" customFormat="false" ht="15.75" hidden="false" customHeight="false" outlineLevel="0" collapsed="false">
      <c r="A88" s="61" t="s">
        <v>11</v>
      </c>
      <c r="B88" s="62"/>
      <c r="C88" s="62"/>
      <c r="D88" s="62"/>
      <c r="E88" s="62"/>
      <c r="F88" s="62"/>
      <c r="G88" s="62"/>
      <c r="H88" s="63"/>
      <c r="I88" s="58"/>
      <c r="J88" s="58"/>
      <c r="K88" s="58"/>
    </row>
    <row r="89" customFormat="false" ht="15" hidden="false" customHeight="false" outlineLevel="0" collapsed="false">
      <c r="A89" s="19" t="s">
        <v>15</v>
      </c>
      <c r="B89" s="19"/>
      <c r="C89" s="19" t="s">
        <v>4</v>
      </c>
      <c r="D89" s="19" t="s">
        <v>16</v>
      </c>
      <c r="E89" s="19" t="s">
        <v>29</v>
      </c>
      <c r="F89" s="19" t="s">
        <v>30</v>
      </c>
      <c r="G89" s="19" t="s">
        <v>19</v>
      </c>
      <c r="H89" s="19" t="s">
        <v>20</v>
      </c>
      <c r="I89" s="58"/>
      <c r="J89" s="58"/>
      <c r="K89" s="58"/>
    </row>
    <row r="90" customFormat="false" ht="15" hidden="false" customHeight="false" outlineLevel="0" collapsed="false">
      <c r="A90" s="19"/>
      <c r="B90" s="30" t="str">
        <f aca="false">$A$88</f>
        <v>BITUMEN COATING</v>
      </c>
      <c r="C90" s="19"/>
      <c r="D90" s="19"/>
      <c r="E90" s="19" t="s">
        <v>21</v>
      </c>
      <c r="F90" s="19" t="s">
        <v>21</v>
      </c>
      <c r="G90" s="19" t="s">
        <v>21</v>
      </c>
      <c r="H90" s="19" t="s">
        <v>31</v>
      </c>
      <c r="I90" s="58"/>
      <c r="J90" s="58"/>
      <c r="K90" s="58"/>
    </row>
    <row r="91" customFormat="false" ht="15" hidden="false" customHeight="false" outlineLevel="0" collapsed="false">
      <c r="A91" s="30" t="n">
        <v>1</v>
      </c>
      <c r="B91" s="30" t="str">
        <f aca="false">$A$88</f>
        <v>BITUMEN COATING</v>
      </c>
      <c r="C91" s="32" t="s">
        <v>108</v>
      </c>
      <c r="D91" s="77" t="n">
        <f aca="false">1</f>
        <v>1</v>
      </c>
      <c r="E91" s="149" t="n">
        <f aca="false">2*E81+2*F81</f>
        <v>46.38</v>
      </c>
      <c r="F91" s="149"/>
      <c r="G91" s="77" t="n">
        <f aca="false">0.15+0.4</f>
        <v>0.55</v>
      </c>
      <c r="H91" s="33" t="n">
        <f aca="false">D91*E91*G91</f>
        <v>25.509</v>
      </c>
      <c r="I91" s="58"/>
      <c r="J91" s="58"/>
      <c r="K91" s="58"/>
    </row>
    <row r="92" customFormat="false" ht="15" hidden="false" customHeight="false" outlineLevel="0" collapsed="false">
      <c r="A92" s="30" t="n">
        <v>2</v>
      </c>
      <c r="B92" s="30" t="str">
        <f aca="false">$A$88</f>
        <v>BITUMEN COATING</v>
      </c>
      <c r="C92" s="76" t="s">
        <v>109</v>
      </c>
      <c r="D92" s="77" t="n">
        <f aca="false">1</f>
        <v>1</v>
      </c>
      <c r="E92" s="149" t="n">
        <f aca="false">E81*F81</f>
        <v>111.7388</v>
      </c>
      <c r="F92" s="149"/>
      <c r="G92" s="77" t="s">
        <v>83</v>
      </c>
      <c r="H92" s="33" t="n">
        <f aca="false">D92*E92</f>
        <v>111.7388</v>
      </c>
      <c r="I92" s="58"/>
      <c r="J92" s="58"/>
      <c r="K92" s="58"/>
    </row>
    <row r="93" customFormat="false" ht="15" hidden="false" customHeight="false" outlineLevel="0" collapsed="false">
      <c r="A93" s="30"/>
      <c r="B93" s="30"/>
      <c r="C93" s="76"/>
      <c r="D93" s="77"/>
      <c r="E93" s="67"/>
      <c r="F93" s="67"/>
      <c r="G93" s="77"/>
      <c r="H93" s="33"/>
      <c r="I93" s="58"/>
      <c r="J93" s="58"/>
      <c r="K93" s="58"/>
    </row>
    <row r="94" customFormat="false" ht="15" hidden="false" customHeight="false" outlineLevel="0" collapsed="false">
      <c r="A94" s="19"/>
      <c r="B94" s="19"/>
      <c r="C94" s="50"/>
      <c r="D94" s="19"/>
      <c r="E94" s="80"/>
      <c r="F94" s="80"/>
      <c r="G94" s="19"/>
      <c r="H94" s="19"/>
      <c r="I94" s="72" t="n">
        <f aca="false">SUM(H91:H94)*1.1</f>
        <v>150.97258</v>
      </c>
      <c r="J94" s="73" t="s">
        <v>32</v>
      </c>
      <c r="K94" s="58"/>
    </row>
    <row r="95" customFormat="false" ht="15" hidden="false" customHeight="false" outlineLevel="0" collapsed="false">
      <c r="A95" s="83"/>
      <c r="B95" s="83"/>
      <c r="C95" s="84"/>
      <c r="D95" s="83"/>
      <c r="E95" s="85"/>
      <c r="F95" s="85"/>
      <c r="G95" s="83"/>
      <c r="H95" s="83"/>
      <c r="I95" s="129"/>
      <c r="J95" s="130"/>
      <c r="K95" s="58"/>
    </row>
    <row r="96" customFormat="false" ht="15" hidden="false" customHeight="false" outlineLevel="0" collapsed="false">
      <c r="A96" s="83"/>
      <c r="B96" s="83"/>
      <c r="C96" s="84"/>
      <c r="D96" s="83"/>
      <c r="E96" s="85"/>
      <c r="F96" s="85"/>
      <c r="G96" s="83"/>
      <c r="H96" s="83"/>
      <c r="I96" s="58"/>
      <c r="J96" s="58"/>
      <c r="K96" s="58"/>
    </row>
    <row r="97" customFormat="false" ht="15.75" hidden="false" customHeight="false" outlineLevel="0" collapsed="false">
      <c r="A97" s="61" t="s">
        <v>12</v>
      </c>
      <c r="B97" s="62"/>
      <c r="C97" s="62"/>
      <c r="D97" s="62"/>
      <c r="E97" s="62"/>
      <c r="F97" s="62"/>
      <c r="G97" s="62"/>
      <c r="H97" s="63"/>
    </row>
    <row r="98" customFormat="false" ht="15" hidden="false" customHeight="false" outlineLevel="0" collapsed="false">
      <c r="A98" s="19" t="s">
        <v>15</v>
      </c>
      <c r="B98" s="19"/>
      <c r="C98" s="19" t="s">
        <v>4</v>
      </c>
      <c r="D98" s="19" t="s">
        <v>16</v>
      </c>
      <c r="E98" s="19" t="s">
        <v>33</v>
      </c>
      <c r="F98" s="19" t="s">
        <v>34</v>
      </c>
      <c r="G98" s="19" t="s">
        <v>35</v>
      </c>
      <c r="H98" s="19" t="s">
        <v>35</v>
      </c>
    </row>
    <row r="99" customFormat="false" ht="15" hidden="false" customHeight="false" outlineLevel="0" collapsed="false">
      <c r="A99" s="19"/>
      <c r="B99" s="30" t="str">
        <f aca="false">$A$97</f>
        <v>REINFORCEMENT</v>
      </c>
      <c r="C99" s="19"/>
      <c r="D99" s="19"/>
      <c r="E99" s="19" t="s">
        <v>36</v>
      </c>
      <c r="F99" s="19" t="s">
        <v>37</v>
      </c>
      <c r="G99" s="19" t="s">
        <v>38</v>
      </c>
      <c r="H99" s="45" t="s">
        <v>39</v>
      </c>
    </row>
    <row r="100" customFormat="false" ht="15" hidden="false" customHeight="false" outlineLevel="0" collapsed="false">
      <c r="A100" s="19"/>
      <c r="B100" s="19"/>
      <c r="C100" s="50" t="s">
        <v>12</v>
      </c>
      <c r="D100" s="19"/>
      <c r="E100" s="19"/>
      <c r="F100" s="19"/>
      <c r="G100" s="19"/>
      <c r="H100" s="19"/>
    </row>
    <row r="101" customFormat="false" ht="15" hidden="false" customHeight="false" outlineLevel="0" collapsed="false">
      <c r="A101" s="30" t="n">
        <v>1</v>
      </c>
      <c r="B101" s="30" t="str">
        <f aca="false">$A$97</f>
        <v>REINFORCEMENT</v>
      </c>
      <c r="C101" s="32" t="str">
        <f aca="false">C45</f>
        <v>COOLING TOWER</v>
      </c>
      <c r="D101" s="30"/>
      <c r="E101" s="87" t="n">
        <f aca="false">I86</f>
        <v>68.826472</v>
      </c>
      <c r="F101" s="30" t="n">
        <v>100</v>
      </c>
      <c r="G101" s="30" t="n">
        <f aca="false">E101*F101</f>
        <v>6882.6472</v>
      </c>
      <c r="H101" s="30" t="n">
        <f aca="false">G101/1000</f>
        <v>6.8826472</v>
      </c>
      <c r="I101" s="88"/>
      <c r="J101" s="88"/>
    </row>
    <row r="102" customFormat="false" ht="15" hidden="false" customHeight="false" outlineLevel="0" collapsed="false">
      <c r="A102" s="19"/>
      <c r="B102" s="19"/>
      <c r="C102" s="51"/>
      <c r="D102" s="19"/>
      <c r="E102" s="89"/>
      <c r="F102" s="19"/>
      <c r="G102" s="19"/>
      <c r="H102" s="19"/>
      <c r="I102" s="88"/>
      <c r="J102" s="88"/>
    </row>
    <row r="103" customFormat="false" ht="15" hidden="false" customHeight="false" outlineLevel="0" collapsed="false">
      <c r="A103" s="51"/>
      <c r="B103" s="51"/>
      <c r="C103" s="51"/>
      <c r="D103" s="17" t="s">
        <v>41</v>
      </c>
      <c r="E103" s="90" t="n">
        <f aca="false">SUM(E101:E102)</f>
        <v>68.826472</v>
      </c>
      <c r="F103" s="19"/>
      <c r="G103" s="17" t="n">
        <f aca="false">SUM(G101:G102)</f>
        <v>6882.6472</v>
      </c>
      <c r="H103" s="17" t="n">
        <f aca="false">SUM(H101:H102)</f>
        <v>6.8826472</v>
      </c>
      <c r="I103" s="91" t="n">
        <f aca="false">H103*1.1</f>
        <v>7.57091192</v>
      </c>
      <c r="J103" s="82" t="s">
        <v>42</v>
      </c>
    </row>
    <row r="104" customFormat="false" ht="15" hidden="false" customHeight="false" outlineLevel="0" collapsed="false">
      <c r="A104" s="54"/>
      <c r="B104" s="54"/>
      <c r="C104" s="54"/>
      <c r="D104" s="54"/>
      <c r="E104" s="54"/>
      <c r="F104" s="92" t="s">
        <v>43</v>
      </c>
      <c r="G104" s="92" t="n">
        <f aca="false">H103*1000/E103</f>
        <v>100</v>
      </c>
      <c r="H104" s="54"/>
    </row>
    <row r="105" customFormat="false" ht="15" hidden="false" customHeight="false" outlineLevel="0" collapsed="false">
      <c r="A105" s="9"/>
      <c r="B105" s="9"/>
      <c r="C105" s="9"/>
      <c r="D105" s="9"/>
      <c r="E105" s="9"/>
      <c r="F105" s="9"/>
      <c r="G105" s="9"/>
      <c r="H105" s="9"/>
      <c r="I105" s="9"/>
      <c r="J105" s="88"/>
    </row>
    <row r="106" customFormat="false" ht="15.75" hidden="false" customHeight="false" outlineLevel="0" collapsed="false">
      <c r="A106" s="61" t="s">
        <v>13</v>
      </c>
      <c r="B106" s="62"/>
      <c r="C106" s="62"/>
      <c r="D106" s="62"/>
      <c r="E106" s="62"/>
      <c r="F106" s="62"/>
      <c r="G106" s="62"/>
      <c r="H106" s="63"/>
      <c r="I106" s="88"/>
      <c r="J106" s="88"/>
    </row>
    <row r="107" customFormat="false" ht="15" hidden="false" customHeight="false" outlineLevel="0" collapsed="false">
      <c r="A107" s="19" t="s">
        <v>15</v>
      </c>
      <c r="B107" s="19"/>
      <c r="C107" s="19" t="s">
        <v>4</v>
      </c>
      <c r="D107" s="19" t="s">
        <v>16</v>
      </c>
      <c r="E107" s="19" t="s">
        <v>29</v>
      </c>
      <c r="F107" s="19" t="s">
        <v>30</v>
      </c>
      <c r="G107" s="19" t="s">
        <v>19</v>
      </c>
      <c r="H107" s="19" t="s">
        <v>20</v>
      </c>
      <c r="I107" s="88"/>
      <c r="J107" s="88"/>
    </row>
    <row r="108" customFormat="false" ht="15" hidden="false" customHeight="false" outlineLevel="0" collapsed="false">
      <c r="A108" s="19"/>
      <c r="B108" s="30" t="s">
        <v>13</v>
      </c>
      <c r="C108" s="19"/>
      <c r="D108" s="19"/>
      <c r="E108" s="19" t="s">
        <v>21</v>
      </c>
      <c r="F108" s="19" t="s">
        <v>21</v>
      </c>
      <c r="G108" s="19" t="s">
        <v>21</v>
      </c>
      <c r="H108" s="19" t="s">
        <v>22</v>
      </c>
      <c r="I108" s="88"/>
      <c r="J108" s="88"/>
    </row>
    <row r="109" customFormat="false" ht="15" hidden="false" customHeight="false" outlineLevel="0" collapsed="false">
      <c r="A109" s="30" t="n">
        <v>1</v>
      </c>
      <c r="B109" s="30" t="s">
        <v>13</v>
      </c>
      <c r="C109" s="32" t="s">
        <v>110</v>
      </c>
      <c r="D109" s="77" t="n">
        <f aca="false">40</f>
        <v>40</v>
      </c>
      <c r="E109" s="132" t="n">
        <v>0.3</v>
      </c>
      <c r="F109" s="150" t="n">
        <v>0.3</v>
      </c>
      <c r="G109" s="30" t="n">
        <v>0.025</v>
      </c>
      <c r="H109" s="93" t="n">
        <f aca="false">D109*E109*F109*G109</f>
        <v>0.09</v>
      </c>
      <c r="I109" s="88"/>
      <c r="J109" s="88"/>
    </row>
    <row r="110" customFormat="false" ht="15" hidden="false" customHeight="false" outlineLevel="0" collapsed="false">
      <c r="A110" s="30" t="n">
        <v>2</v>
      </c>
      <c r="B110" s="30" t="s">
        <v>13</v>
      </c>
      <c r="C110" s="32" t="s">
        <v>111</v>
      </c>
      <c r="D110" s="77" t="n">
        <f aca="false">40*4</f>
        <v>160</v>
      </c>
      <c r="E110" s="30" t="n">
        <v>0.1</v>
      </c>
      <c r="F110" s="30" t="n">
        <v>0.1</v>
      </c>
      <c r="G110" s="30" t="n">
        <v>0.605</v>
      </c>
      <c r="H110" s="93" t="n">
        <f aca="false">D110*E110*F110*G110</f>
        <v>0.968</v>
      </c>
      <c r="I110" s="88" t="s">
        <v>58</v>
      </c>
      <c r="J110" s="88"/>
    </row>
    <row r="111" customFormat="false" ht="15" hidden="false" customHeight="false" outlineLevel="0" collapsed="false">
      <c r="A111" s="20"/>
      <c r="B111" s="20"/>
      <c r="C111" s="39"/>
      <c r="D111" s="151"/>
      <c r="E111" s="69"/>
      <c r="F111" s="69"/>
      <c r="G111" s="20"/>
      <c r="H111" s="48"/>
      <c r="I111" s="88"/>
      <c r="J111" s="88"/>
    </row>
    <row r="112" customFormat="false" ht="15" hidden="false" customHeight="false" outlineLevel="0" collapsed="false">
      <c r="A112" s="96"/>
      <c r="B112" s="96"/>
      <c r="C112" s="97"/>
      <c r="D112" s="96"/>
      <c r="E112" s="96"/>
      <c r="F112" s="96"/>
      <c r="G112" s="96"/>
      <c r="H112" s="98"/>
      <c r="I112" s="91" t="n">
        <f aca="false">SUM(H109:H112)*1.1</f>
        <v>1.1638</v>
      </c>
      <c r="J112" s="82" t="s">
        <v>48</v>
      </c>
    </row>
    <row r="113" customFormat="false" ht="15" hidden="false" customHeight="false" outlineLevel="0" collapsed="false">
      <c r="A113" s="88"/>
      <c r="B113" s="88"/>
      <c r="C113" s="88"/>
      <c r="D113" s="88"/>
      <c r="E113" s="88"/>
      <c r="F113" s="88"/>
      <c r="G113" s="88"/>
      <c r="H113" s="88"/>
      <c r="I113" s="88"/>
      <c r="J113" s="88"/>
    </row>
    <row r="114" customFormat="false" ht="15" hidden="false" customHeight="false" outlineLevel="0" collapsed="false">
      <c r="A114" s="88"/>
      <c r="B114" s="88"/>
      <c r="C114" s="88"/>
      <c r="D114" s="88"/>
      <c r="E114" s="88"/>
      <c r="F114" s="88"/>
      <c r="G114" s="88"/>
      <c r="H114" s="88"/>
      <c r="I114" s="88"/>
      <c r="J114" s="88"/>
    </row>
    <row r="115" customFormat="false" ht="15" hidden="false" customHeight="false" outlineLevel="0" collapsed="false">
      <c r="A115" s="88"/>
      <c r="B115" s="88"/>
      <c r="C115" s="88"/>
      <c r="D115" s="88"/>
      <c r="E115" s="88"/>
      <c r="F115" s="88"/>
      <c r="G115" s="88"/>
      <c r="H115" s="88"/>
      <c r="I115" s="88"/>
      <c r="J115" s="88"/>
    </row>
    <row r="116" customFormat="false" ht="15.75" hidden="false" customHeight="false" outlineLevel="0" collapsed="false">
      <c r="A116" s="61" t="s">
        <v>95</v>
      </c>
      <c r="B116" s="62"/>
      <c r="C116" s="62"/>
      <c r="D116" s="62"/>
      <c r="E116" s="62"/>
      <c r="F116" s="62"/>
      <c r="G116" s="62"/>
      <c r="H116" s="63"/>
      <c r="I116" s="88"/>
      <c r="J116" s="88"/>
    </row>
    <row r="117" customFormat="false" ht="15" hidden="false" customHeight="false" outlineLevel="0" collapsed="false">
      <c r="A117" s="19" t="s">
        <v>15</v>
      </c>
      <c r="B117" s="19"/>
      <c r="C117" s="19" t="s">
        <v>4</v>
      </c>
      <c r="D117" s="19" t="s">
        <v>16</v>
      </c>
      <c r="E117" s="19" t="s">
        <v>29</v>
      </c>
      <c r="F117" s="19" t="s">
        <v>30</v>
      </c>
      <c r="G117" s="19" t="s">
        <v>19</v>
      </c>
      <c r="H117" s="19" t="s">
        <v>20</v>
      </c>
      <c r="I117" s="88"/>
      <c r="J117" s="88"/>
    </row>
    <row r="118" customFormat="false" ht="15" hidden="false" customHeight="false" outlineLevel="0" collapsed="false">
      <c r="A118" s="19"/>
      <c r="B118" s="30" t="s">
        <v>95</v>
      </c>
      <c r="C118" s="19"/>
      <c r="D118" s="19"/>
      <c r="E118" s="19" t="s">
        <v>21</v>
      </c>
      <c r="F118" s="19" t="s">
        <v>21</v>
      </c>
      <c r="G118" s="19" t="s">
        <v>21</v>
      </c>
      <c r="H118" s="19" t="s">
        <v>21</v>
      </c>
      <c r="I118" s="88"/>
      <c r="J118" s="88"/>
    </row>
    <row r="119" customFormat="false" ht="15" hidden="false" customHeight="false" outlineLevel="0" collapsed="false">
      <c r="A119" s="30" t="n">
        <v>1</v>
      </c>
      <c r="B119" s="30" t="s">
        <v>95</v>
      </c>
      <c r="C119" s="32" t="s">
        <v>112</v>
      </c>
      <c r="D119" s="77" t="n">
        <f aca="false">1</f>
        <v>1</v>
      </c>
      <c r="E119" s="132" t="n">
        <f aca="false">2*15.76+2*6.23</f>
        <v>43.98</v>
      </c>
      <c r="F119" s="150"/>
      <c r="G119" s="30"/>
      <c r="H119" s="93" t="n">
        <f aca="false">D119*E119</f>
        <v>43.98</v>
      </c>
      <c r="I119" s="88"/>
      <c r="J119" s="88"/>
    </row>
    <row r="120" customFormat="false" ht="15" hidden="false" customHeight="false" outlineLevel="0" collapsed="false">
      <c r="A120" s="30"/>
      <c r="B120" s="30"/>
      <c r="C120" s="32"/>
      <c r="D120" s="30"/>
      <c r="E120" s="30"/>
      <c r="F120" s="30"/>
      <c r="G120" s="30"/>
      <c r="H120" s="93"/>
      <c r="I120" s="88"/>
      <c r="J120" s="88"/>
    </row>
    <row r="121" customFormat="false" ht="15" hidden="false" customHeight="false" outlineLevel="0" collapsed="false">
      <c r="A121" s="20"/>
      <c r="B121" s="20"/>
      <c r="C121" s="39"/>
      <c r="D121" s="151"/>
      <c r="E121" s="69"/>
      <c r="F121" s="69"/>
      <c r="G121" s="20"/>
      <c r="H121" s="48"/>
      <c r="I121" s="88"/>
      <c r="J121" s="88"/>
    </row>
    <row r="122" customFormat="false" ht="15" hidden="false" customHeight="false" outlineLevel="0" collapsed="false">
      <c r="A122" s="96"/>
      <c r="B122" s="96"/>
      <c r="C122" s="97"/>
      <c r="D122" s="96"/>
      <c r="E122" s="96"/>
      <c r="F122" s="96"/>
      <c r="G122" s="96"/>
      <c r="H122" s="98"/>
      <c r="I122" s="91" t="n">
        <f aca="false">SUM(H119:H122)*1.1</f>
        <v>48.378</v>
      </c>
      <c r="J122" s="82" t="str">
        <f aca="false">A116</f>
        <v>PVC WATER STOPPER</v>
      </c>
    </row>
    <row r="123" customFormat="false" ht="15" hidden="false" customHeight="false" outlineLevel="0" collapsed="false">
      <c r="A123" s="88"/>
      <c r="B123" s="88"/>
      <c r="C123" s="88"/>
      <c r="D123" s="88"/>
      <c r="E123" s="88"/>
      <c r="F123" s="88"/>
      <c r="G123" s="88"/>
      <c r="H123" s="88"/>
      <c r="I123" s="88"/>
      <c r="J123" s="88"/>
    </row>
    <row r="124" customFormat="false" ht="15" hidden="false" customHeight="false" outlineLevel="0" collapsed="false">
      <c r="A124" s="88"/>
      <c r="B124" s="88"/>
      <c r="C124" s="88"/>
      <c r="D124" s="88"/>
      <c r="E124" s="88"/>
      <c r="F124" s="88"/>
      <c r="G124" s="88"/>
      <c r="H124" s="88"/>
      <c r="I124" s="88"/>
      <c r="J124" s="88"/>
    </row>
    <row r="125" customFormat="false" ht="15" hidden="false" customHeight="false" outlineLevel="0" collapsed="false">
      <c r="A125" s="88"/>
      <c r="B125" s="88"/>
      <c r="C125" s="88"/>
      <c r="D125" s="88"/>
      <c r="E125" s="88"/>
      <c r="F125" s="88"/>
      <c r="G125" s="88"/>
      <c r="H125" s="88"/>
      <c r="I125" s="88"/>
      <c r="J125" s="88"/>
    </row>
    <row r="126" customFormat="false" ht="15" hidden="false" customHeight="false" outlineLevel="0" collapsed="false">
      <c r="A126" s="88"/>
      <c r="B126" s="88"/>
      <c r="C126" s="88"/>
      <c r="D126" s="88"/>
      <c r="E126" s="88"/>
      <c r="F126" s="88"/>
      <c r="G126" s="88"/>
      <c r="H126" s="88"/>
      <c r="I126" s="88"/>
      <c r="J126" s="88"/>
    </row>
    <row r="127" customFormat="false" ht="15" hidden="false" customHeight="false" outlineLevel="0" collapsed="false">
      <c r="A127" s="88"/>
      <c r="B127" s="88"/>
      <c r="C127" s="88"/>
      <c r="D127" s="88"/>
      <c r="E127" s="88"/>
      <c r="F127" s="88"/>
      <c r="G127" s="88"/>
      <c r="H127" s="88"/>
      <c r="I127" s="88"/>
      <c r="J127" s="88"/>
    </row>
    <row r="128" customFormat="false" ht="15" hidden="false" customHeight="false" outlineLevel="0" collapsed="false">
      <c r="A128" s="88"/>
      <c r="B128" s="88"/>
      <c r="C128" s="88"/>
      <c r="D128" s="88"/>
      <c r="E128" s="88"/>
      <c r="F128" s="88"/>
      <c r="G128" s="88"/>
      <c r="H128" s="88"/>
      <c r="I128" s="88"/>
      <c r="J128" s="88"/>
    </row>
    <row r="129" customFormat="false" ht="15" hidden="false" customHeight="false" outlineLevel="0" collapsed="false">
      <c r="A129" s="88"/>
      <c r="B129" s="88"/>
      <c r="C129" s="88"/>
      <c r="D129" s="88"/>
      <c r="E129" s="88"/>
      <c r="F129" s="88"/>
      <c r="G129" s="88"/>
      <c r="H129" s="88"/>
      <c r="I129" s="88"/>
      <c r="J129" s="88"/>
    </row>
    <row r="130" customFormat="false" ht="15.75" hidden="false" customHeight="false" outlineLevel="0" collapsed="false">
      <c r="A130" s="152" t="s">
        <v>113</v>
      </c>
      <c r="B130" s="62"/>
      <c r="C130" s="62"/>
      <c r="D130" s="62"/>
      <c r="E130" s="62"/>
      <c r="F130" s="62"/>
      <c r="G130" s="62"/>
      <c r="H130" s="63"/>
      <c r="I130" s="88"/>
      <c r="J130" s="88"/>
    </row>
    <row r="131" customFormat="false" ht="15" hidden="false" customHeight="false" outlineLevel="0" collapsed="false">
      <c r="A131" s="19" t="s">
        <v>15</v>
      </c>
      <c r="B131" s="19"/>
      <c r="C131" s="19" t="s">
        <v>4</v>
      </c>
      <c r="D131" s="19" t="s">
        <v>16</v>
      </c>
      <c r="E131" s="19"/>
      <c r="F131" s="19" t="s">
        <v>114</v>
      </c>
      <c r="G131" s="19" t="s">
        <v>53</v>
      </c>
      <c r="H131" s="19" t="s">
        <v>20</v>
      </c>
      <c r="I131" s="88"/>
      <c r="J131" s="88"/>
    </row>
    <row r="132" customFormat="false" ht="15" hidden="false" customHeight="false" outlineLevel="0" collapsed="false">
      <c r="A132" s="19"/>
      <c r="B132" s="78"/>
      <c r="C132" s="19"/>
      <c r="D132" s="19"/>
      <c r="E132" s="19" t="s">
        <v>54</v>
      </c>
      <c r="F132" s="19" t="s">
        <v>21</v>
      </c>
      <c r="G132" s="19"/>
      <c r="H132" s="19" t="s">
        <v>21</v>
      </c>
      <c r="I132" s="88"/>
      <c r="J132" s="88"/>
    </row>
    <row r="133" customFormat="false" ht="15" hidden="false" customHeight="false" outlineLevel="0" collapsed="false">
      <c r="A133" s="30" t="n">
        <v>1</v>
      </c>
      <c r="B133" s="32" t="s">
        <v>96</v>
      </c>
      <c r="C133" s="32" t="s">
        <v>96</v>
      </c>
      <c r="D133" s="77" t="n">
        <f aca="false">1</f>
        <v>1</v>
      </c>
      <c r="E133" s="101" t="n">
        <v>38</v>
      </c>
      <c r="F133" s="30" t="n">
        <f aca="false">0.3+0.3+0.2</f>
        <v>0.8</v>
      </c>
      <c r="G133" s="30"/>
      <c r="H133" s="30" t="n">
        <f aca="false">D133*F133</f>
        <v>0.8</v>
      </c>
      <c r="I133" s="88"/>
      <c r="J133" s="88"/>
    </row>
    <row r="134" customFormat="false" ht="15" hidden="false" customHeight="false" outlineLevel="0" collapsed="false">
      <c r="A134" s="30" t="n">
        <v>2</v>
      </c>
      <c r="B134" s="32" t="s">
        <v>97</v>
      </c>
      <c r="C134" s="32" t="s">
        <v>97</v>
      </c>
      <c r="D134" s="77" t="n">
        <f aca="false">1</f>
        <v>1</v>
      </c>
      <c r="E134" s="101" t="n">
        <v>50</v>
      </c>
      <c r="F134" s="30" t="n">
        <f aca="false">0.3+0.3+0.2</f>
        <v>0.8</v>
      </c>
      <c r="G134" s="30"/>
      <c r="H134" s="30" t="n">
        <f aca="false">D134*F134</f>
        <v>0.8</v>
      </c>
      <c r="I134" s="88"/>
      <c r="J134" s="88"/>
    </row>
    <row r="135" customFormat="false" ht="15" hidden="false" customHeight="false" outlineLevel="0" collapsed="false">
      <c r="A135" s="30" t="n">
        <v>3</v>
      </c>
      <c r="B135" s="32" t="s">
        <v>98</v>
      </c>
      <c r="C135" s="32" t="s">
        <v>98</v>
      </c>
      <c r="D135" s="77" t="n">
        <f aca="false">3</f>
        <v>3</v>
      </c>
      <c r="E135" s="101" t="n">
        <v>100</v>
      </c>
      <c r="F135" s="30" t="n">
        <f aca="false">0.3+0.3+0.2</f>
        <v>0.8</v>
      </c>
      <c r="G135" s="30"/>
      <c r="H135" s="30" t="n">
        <f aca="false">D135*F135</f>
        <v>2.4</v>
      </c>
      <c r="I135" s="88"/>
      <c r="J135" s="88"/>
    </row>
    <row r="136" customFormat="false" ht="15" hidden="false" customHeight="false" outlineLevel="0" collapsed="false">
      <c r="A136" s="30" t="n">
        <v>4</v>
      </c>
      <c r="B136" s="32" t="s">
        <v>99</v>
      </c>
      <c r="C136" s="32" t="s">
        <v>99</v>
      </c>
      <c r="D136" s="77" t="n">
        <f aca="false">1</f>
        <v>1</v>
      </c>
      <c r="E136" s="101" t="n">
        <v>150</v>
      </c>
      <c r="F136" s="30" t="n">
        <f aca="false">0.3+0.3+0.2</f>
        <v>0.8</v>
      </c>
      <c r="G136" s="30"/>
      <c r="H136" s="30" t="n">
        <f aca="false">D136*F136</f>
        <v>0.8</v>
      </c>
      <c r="I136" s="88"/>
      <c r="J136" s="88"/>
    </row>
    <row r="137" customFormat="false" ht="15" hidden="false" customHeight="false" outlineLevel="0" collapsed="false">
      <c r="A137" s="30" t="n">
        <v>5</v>
      </c>
      <c r="B137" s="32" t="s">
        <v>100</v>
      </c>
      <c r="C137" s="32" t="s">
        <v>100</v>
      </c>
      <c r="D137" s="30" t="n">
        <f aca="false">2</f>
        <v>2</v>
      </c>
      <c r="E137" s="30" t="n">
        <v>200</v>
      </c>
      <c r="F137" s="30" t="n">
        <f aca="false">0.3+0.3+0.2</f>
        <v>0.8</v>
      </c>
      <c r="G137" s="30"/>
      <c r="H137" s="30" t="n">
        <f aca="false">D137*F137</f>
        <v>1.6</v>
      </c>
      <c r="I137" s="88"/>
      <c r="J137" s="88"/>
    </row>
    <row r="138" customFormat="false" ht="15" hidden="false" customHeight="false" outlineLevel="0" collapsed="false">
      <c r="A138" s="30" t="n">
        <v>6</v>
      </c>
      <c r="B138" s="32" t="s">
        <v>101</v>
      </c>
      <c r="C138" s="32" t="s">
        <v>101</v>
      </c>
      <c r="D138" s="77" t="n">
        <f aca="false">1</f>
        <v>1</v>
      </c>
      <c r="E138" s="101" t="n">
        <v>250</v>
      </c>
      <c r="F138" s="30" t="n">
        <f aca="false">0.3+0.3+0.2</f>
        <v>0.8</v>
      </c>
      <c r="G138" s="30"/>
      <c r="H138" s="30" t="n">
        <f aca="false">D138*F138</f>
        <v>0.8</v>
      </c>
      <c r="I138" s="88"/>
      <c r="J138" s="88"/>
    </row>
    <row r="139" customFormat="false" ht="15" hidden="false" customHeight="false" outlineLevel="0" collapsed="false">
      <c r="A139" s="20"/>
      <c r="B139" s="20"/>
      <c r="C139" s="39"/>
      <c r="D139" s="21"/>
      <c r="E139" s="102"/>
      <c r="F139" s="20"/>
      <c r="G139" s="20"/>
      <c r="H139" s="40"/>
      <c r="I139" s="88"/>
      <c r="J139" s="88"/>
    </row>
    <row r="140" customFormat="false" ht="15" hidden="false" customHeight="false" outlineLevel="0" collapsed="false">
      <c r="A140" s="19"/>
      <c r="B140" s="19"/>
      <c r="C140" s="51"/>
      <c r="D140" s="51"/>
      <c r="E140" s="19"/>
      <c r="F140" s="19"/>
      <c r="G140" s="19"/>
      <c r="H140" s="89"/>
      <c r="I140" s="56" t="n">
        <f aca="false">SUM(H133:H139)*1.1</f>
        <v>7.92</v>
      </c>
      <c r="J140" s="57" t="str">
        <f aca="false">A130</f>
        <v>PUDDLE FLANGE MS PIPE</v>
      </c>
    </row>
    <row r="141" customFormat="false" ht="15" hidden="false" customHeight="false" outlineLevel="0" collapsed="false">
      <c r="A141" s="88"/>
      <c r="B141" s="88"/>
      <c r="C141" s="88"/>
      <c r="D141" s="88"/>
      <c r="E141" s="88"/>
      <c r="F141" s="88"/>
      <c r="G141" s="88"/>
      <c r="H141" s="88"/>
      <c r="I141" s="88"/>
      <c r="J141" s="104" t="s">
        <v>60</v>
      </c>
    </row>
    <row r="144" customFormat="false" ht="15.75" hidden="false" customHeight="false" outlineLevel="0" collapsed="false">
      <c r="A144" s="152" t="s">
        <v>115</v>
      </c>
      <c r="B144" s="62"/>
      <c r="C144" s="62"/>
      <c r="D144" s="62"/>
      <c r="E144" s="62"/>
      <c r="F144" s="62"/>
      <c r="G144" s="62"/>
      <c r="H144" s="63"/>
      <c r="I144" s="88"/>
      <c r="J144" s="88"/>
    </row>
    <row r="145" customFormat="false" ht="15" hidden="false" customHeight="false" outlineLevel="0" collapsed="false">
      <c r="A145" s="19" t="s">
        <v>15</v>
      </c>
      <c r="B145" s="19"/>
      <c r="C145" s="19" t="s">
        <v>4</v>
      </c>
      <c r="D145" s="19" t="s">
        <v>16</v>
      </c>
      <c r="E145" s="19" t="s">
        <v>29</v>
      </c>
      <c r="F145" s="19" t="s">
        <v>30</v>
      </c>
      <c r="G145" s="19" t="s">
        <v>19</v>
      </c>
      <c r="H145" s="19" t="s">
        <v>20</v>
      </c>
      <c r="I145" s="88"/>
      <c r="J145" s="88"/>
    </row>
    <row r="146" customFormat="false" ht="15" hidden="false" customHeight="false" outlineLevel="0" collapsed="false">
      <c r="A146" s="19"/>
      <c r="B146" s="78" t="s">
        <v>102</v>
      </c>
      <c r="C146" s="19"/>
      <c r="D146" s="19"/>
      <c r="E146" s="19" t="s">
        <v>21</v>
      </c>
      <c r="F146" s="19" t="s">
        <v>21</v>
      </c>
      <c r="G146" s="19" t="s">
        <v>21</v>
      </c>
      <c r="H146" s="19" t="s">
        <v>57</v>
      </c>
      <c r="I146" s="88"/>
      <c r="J146" s="88"/>
    </row>
    <row r="147" customFormat="false" ht="15" hidden="false" customHeight="false" outlineLevel="0" collapsed="false">
      <c r="A147" s="30" t="n">
        <v>1</v>
      </c>
      <c r="B147" s="78" t="s">
        <v>102</v>
      </c>
      <c r="C147" s="32" t="s">
        <v>115</v>
      </c>
      <c r="D147" s="77" t="n">
        <f aca="false">1</f>
        <v>1</v>
      </c>
      <c r="E147" s="101" t="n">
        <v>0.5</v>
      </c>
      <c r="F147" s="30" t="n">
        <v>0.5</v>
      </c>
      <c r="G147" s="30" t="n">
        <v>0.006</v>
      </c>
      <c r="H147" s="33" t="n">
        <f aca="false">D147*E147*F147*G147*7850</f>
        <v>11.775</v>
      </c>
      <c r="I147" s="88"/>
      <c r="J147" s="88"/>
    </row>
    <row r="148" customFormat="false" ht="15" hidden="false" customHeight="false" outlineLevel="0" collapsed="false">
      <c r="A148" s="30" t="n">
        <v>2</v>
      </c>
      <c r="B148" s="78" t="s">
        <v>102</v>
      </c>
      <c r="C148" s="32" t="s">
        <v>115</v>
      </c>
      <c r="D148" s="77" t="n">
        <f aca="false">1</f>
        <v>1</v>
      </c>
      <c r="E148" s="101" t="n">
        <v>0.5</v>
      </c>
      <c r="F148" s="30" t="n">
        <v>0.5</v>
      </c>
      <c r="G148" s="30" t="n">
        <v>0.006</v>
      </c>
      <c r="H148" s="33" t="n">
        <f aca="false">D148*E148*F148*G148*7850</f>
        <v>11.775</v>
      </c>
      <c r="I148" s="88"/>
      <c r="J148" s="88"/>
    </row>
    <row r="149" customFormat="false" ht="15" hidden="false" customHeight="false" outlineLevel="0" collapsed="false">
      <c r="A149" s="30" t="n">
        <v>3</v>
      </c>
      <c r="B149" s="78" t="s">
        <v>102</v>
      </c>
      <c r="C149" s="32" t="s">
        <v>115</v>
      </c>
      <c r="D149" s="77" t="n">
        <f aca="false">3</f>
        <v>3</v>
      </c>
      <c r="E149" s="101" t="n">
        <v>0.5</v>
      </c>
      <c r="F149" s="30" t="n">
        <v>0.5</v>
      </c>
      <c r="G149" s="30" t="n">
        <v>0.006</v>
      </c>
      <c r="H149" s="33" t="n">
        <f aca="false">D149*E149*F149*G149*7850</f>
        <v>35.325</v>
      </c>
      <c r="I149" s="88"/>
      <c r="J149" s="88"/>
    </row>
    <row r="150" customFormat="false" ht="15" hidden="false" customHeight="false" outlineLevel="0" collapsed="false">
      <c r="A150" s="30" t="n">
        <v>4</v>
      </c>
      <c r="B150" s="78" t="s">
        <v>102</v>
      </c>
      <c r="C150" s="32" t="s">
        <v>115</v>
      </c>
      <c r="D150" s="77" t="n">
        <f aca="false">1</f>
        <v>1</v>
      </c>
      <c r="E150" s="101" t="n">
        <v>0.5</v>
      </c>
      <c r="F150" s="30" t="n">
        <v>0.5</v>
      </c>
      <c r="G150" s="30" t="n">
        <v>0.006</v>
      </c>
      <c r="H150" s="33" t="n">
        <f aca="false">D150*E150*F150*G150*7850</f>
        <v>11.775</v>
      </c>
      <c r="I150" s="88"/>
      <c r="J150" s="88"/>
    </row>
    <row r="151" customFormat="false" ht="15" hidden="false" customHeight="false" outlineLevel="0" collapsed="false">
      <c r="A151" s="30" t="n">
        <v>5</v>
      </c>
      <c r="B151" s="78" t="s">
        <v>102</v>
      </c>
      <c r="C151" s="32" t="s">
        <v>115</v>
      </c>
      <c r="D151" s="30" t="n">
        <f aca="false">2</f>
        <v>2</v>
      </c>
      <c r="E151" s="101" t="n">
        <v>0.5</v>
      </c>
      <c r="F151" s="30" t="n">
        <v>0.5</v>
      </c>
      <c r="G151" s="30" t="n">
        <v>0.006</v>
      </c>
      <c r="H151" s="33" t="n">
        <f aca="false">D151*E151*F151*G151*7850</f>
        <v>23.55</v>
      </c>
      <c r="I151" s="88"/>
      <c r="J151" s="88"/>
    </row>
    <row r="152" customFormat="false" ht="15" hidden="false" customHeight="false" outlineLevel="0" collapsed="false">
      <c r="A152" s="30" t="n">
        <v>6</v>
      </c>
      <c r="B152" s="78" t="s">
        <v>102</v>
      </c>
      <c r="C152" s="32" t="s">
        <v>115</v>
      </c>
      <c r="D152" s="77" t="n">
        <f aca="false">1</f>
        <v>1</v>
      </c>
      <c r="E152" s="101" t="n">
        <v>0.5</v>
      </c>
      <c r="F152" s="30" t="n">
        <v>0.5</v>
      </c>
      <c r="G152" s="30" t="n">
        <v>0.006</v>
      </c>
      <c r="H152" s="33" t="n">
        <f aca="false">D152*E152*F152*G152*7850</f>
        <v>11.775</v>
      </c>
      <c r="I152" s="88"/>
      <c r="J152" s="88"/>
    </row>
    <row r="153" customFormat="false" ht="15" hidden="false" customHeight="false" outlineLevel="0" collapsed="false">
      <c r="A153" s="20"/>
      <c r="B153" s="20"/>
      <c r="C153" s="39"/>
      <c r="D153" s="21"/>
      <c r="E153" s="102"/>
      <c r="F153" s="20"/>
      <c r="G153" s="20"/>
      <c r="H153" s="40"/>
      <c r="I153" s="88"/>
      <c r="J153" s="88"/>
    </row>
    <row r="154" customFormat="false" ht="15" hidden="false" customHeight="false" outlineLevel="0" collapsed="false">
      <c r="A154" s="19"/>
      <c r="B154" s="19"/>
      <c r="C154" s="51"/>
      <c r="D154" s="51"/>
      <c r="E154" s="19"/>
      <c r="F154" s="19"/>
      <c r="G154" s="19"/>
      <c r="H154" s="89"/>
      <c r="I154" s="56" t="n">
        <f aca="false">SUM(H147:H153)*1.1</f>
        <v>116.5725</v>
      </c>
      <c r="J154" s="57" t="str">
        <f aca="false">A144</f>
        <v>PUDDLE FLANGE MS PLATE</v>
      </c>
    </row>
    <row r="155" customFormat="false" ht="15" hidden="false" customHeight="false" outlineLevel="0" collapsed="false">
      <c r="A155" s="88"/>
      <c r="B155" s="88"/>
      <c r="C155" s="88"/>
      <c r="D155" s="88"/>
      <c r="E155" s="88"/>
      <c r="F155" s="88"/>
      <c r="G155" s="88"/>
      <c r="H155" s="88"/>
      <c r="I155" s="88"/>
      <c r="J155" s="104" t="s">
        <v>60</v>
      </c>
    </row>
    <row r="157" customFormat="false" ht="15.75" hidden="false" customHeight="false" outlineLevel="0" collapsed="false">
      <c r="A157" s="61" t="s">
        <v>103</v>
      </c>
      <c r="B157" s="62"/>
      <c r="C157" s="62"/>
      <c r="D157" s="62"/>
      <c r="E157" s="62"/>
      <c r="F157" s="62"/>
      <c r="G157" s="62"/>
      <c r="H157" s="63"/>
      <c r="I157" s="88"/>
      <c r="J157" s="88"/>
    </row>
    <row r="158" customFormat="false" ht="15" hidden="false" customHeight="false" outlineLevel="0" collapsed="false">
      <c r="A158" s="19" t="s">
        <v>15</v>
      </c>
      <c r="B158" s="19"/>
      <c r="C158" s="19" t="s">
        <v>4</v>
      </c>
      <c r="D158" s="19" t="s">
        <v>16</v>
      </c>
      <c r="E158" s="19" t="s">
        <v>29</v>
      </c>
      <c r="F158" s="19" t="s">
        <v>30</v>
      </c>
      <c r="G158" s="19" t="s">
        <v>19</v>
      </c>
      <c r="H158" s="19" t="s">
        <v>20</v>
      </c>
      <c r="I158" s="88"/>
      <c r="J158" s="88"/>
    </row>
    <row r="159" customFormat="false" ht="15" hidden="false" customHeight="false" outlineLevel="0" collapsed="false">
      <c r="A159" s="19"/>
      <c r="B159" s="76" t="s">
        <v>103</v>
      </c>
      <c r="C159" s="19"/>
      <c r="D159" s="19"/>
      <c r="E159" s="19" t="s">
        <v>21</v>
      </c>
      <c r="F159" s="19" t="s">
        <v>21</v>
      </c>
      <c r="G159" s="19" t="s">
        <v>21</v>
      </c>
      <c r="H159" s="19" t="s">
        <v>22</v>
      </c>
      <c r="I159" s="88"/>
      <c r="J159" s="88"/>
    </row>
    <row r="160" customFormat="false" ht="15" hidden="false" customHeight="false" outlineLevel="0" collapsed="false">
      <c r="A160" s="30" t="n">
        <v>1</v>
      </c>
      <c r="B160" s="76" t="s">
        <v>103</v>
      </c>
      <c r="C160" s="32" t="s">
        <v>116</v>
      </c>
      <c r="D160" s="77" t="n">
        <v>1</v>
      </c>
      <c r="E160" s="153" t="n">
        <f aca="false">2*(15.36+5.83)</f>
        <v>42.38</v>
      </c>
      <c r="F160" s="154" t="n">
        <v>0.02</v>
      </c>
      <c r="G160" s="30" t="n">
        <v>1.55</v>
      </c>
      <c r="H160" s="93" t="n">
        <f aca="false">D160*E160*F160*G160</f>
        <v>1.31378</v>
      </c>
      <c r="I160" s="88"/>
      <c r="J160" s="88"/>
    </row>
    <row r="161" customFormat="false" ht="15" hidden="false" customHeight="false" outlineLevel="0" collapsed="false">
      <c r="A161" s="30" t="n">
        <v>2</v>
      </c>
      <c r="B161" s="76" t="s">
        <v>103</v>
      </c>
      <c r="C161" s="32" t="s">
        <v>117</v>
      </c>
      <c r="D161" s="30" t="n">
        <v>40</v>
      </c>
      <c r="E161" s="153" t="n">
        <f aca="false">2*(0.3+0.3)</f>
        <v>1.2</v>
      </c>
      <c r="F161" s="154" t="n">
        <v>0.02</v>
      </c>
      <c r="G161" s="30" t="n">
        <v>1.55</v>
      </c>
      <c r="H161" s="93" t="n">
        <f aca="false">D161*E161*F161*G161</f>
        <v>1.488</v>
      </c>
      <c r="I161" s="88"/>
      <c r="J161" s="88"/>
    </row>
    <row r="162" customFormat="false" ht="15" hidden="false" customHeight="false" outlineLevel="0" collapsed="false">
      <c r="A162" s="30" t="n">
        <v>3</v>
      </c>
      <c r="B162" s="76" t="s">
        <v>103</v>
      </c>
      <c r="C162" s="32" t="s">
        <v>118</v>
      </c>
      <c r="D162" s="30" t="n">
        <v>22</v>
      </c>
      <c r="E162" s="153" t="n">
        <f aca="false">0.3</f>
        <v>0.3</v>
      </c>
      <c r="F162" s="154" t="n">
        <v>0.02</v>
      </c>
      <c r="G162" s="30" t="n">
        <v>1.55</v>
      </c>
      <c r="H162" s="93" t="n">
        <f aca="false">D162*E162*F162*G162*-1</f>
        <v>-0.2046</v>
      </c>
      <c r="I162" s="88"/>
      <c r="J162" s="88"/>
    </row>
    <row r="163" customFormat="false" ht="15" hidden="false" customHeight="false" outlineLevel="0" collapsed="false">
      <c r="A163" s="96"/>
      <c r="B163" s="96"/>
      <c r="C163" s="97"/>
      <c r="D163" s="96"/>
      <c r="E163" s="96"/>
      <c r="F163" s="96"/>
      <c r="G163" s="96"/>
      <c r="H163" s="98"/>
      <c r="I163" s="91" t="n">
        <f aca="false">SUM(H160:H163)*1.1</f>
        <v>2.856898</v>
      </c>
      <c r="J163" s="82" t="str">
        <f aca="false">A157</f>
        <v>WATER PROOF PLASTER</v>
      </c>
    </row>
  </sheetData>
  <mergeCells count="9">
    <mergeCell ref="A1:H1"/>
    <mergeCell ref="A2:H2"/>
    <mergeCell ref="A3:H3"/>
    <mergeCell ref="C6:E6"/>
    <mergeCell ref="L43:N43"/>
    <mergeCell ref="E83:F83"/>
    <mergeCell ref="E91:F91"/>
    <mergeCell ref="E92:F92"/>
    <mergeCell ref="E93:F9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C1:K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30" activeCellId="0" sqref="G30"/>
    </sheetView>
  </sheetViews>
  <sheetFormatPr defaultColWidth="8.6875" defaultRowHeight="15" zeroHeight="false" outlineLevelRow="0" outlineLevelCol="0"/>
  <cols>
    <col collapsed="false" customWidth="true" hidden="false" outlineLevel="0" max="3" min="3" style="0" width="56.01"/>
    <col collapsed="false" customWidth="true" hidden="false" outlineLevel="0" max="4" min="4" style="0" width="16.86"/>
    <col collapsed="false" customWidth="true" hidden="false" outlineLevel="0" max="5" min="5" style="0" width="18.29"/>
    <col collapsed="false" customWidth="true" hidden="false" outlineLevel="0" max="8" min="8" style="0" width="14.9"/>
    <col collapsed="false" customWidth="true" hidden="false" outlineLevel="0" max="9" min="9" style="0" width="10.99"/>
  </cols>
  <sheetData>
    <row r="1" customFormat="false" ht="13.8" hidden="false" customHeight="false" outlineLevel="0" collapsed="false"/>
    <row r="3" customFormat="false" ht="15" hidden="false" customHeight="false" outlineLevel="0" collapsed="false">
      <c r="C3" s="155" t="s">
        <v>119</v>
      </c>
      <c r="D3" s="0" t="n">
        <f aca="true">SUMPRODUCT((SUMIFS(INDIRECT(""&amp;G7:G8&amp;"!"&amp;"D7:D30"),INDIRECT(""&amp;G7:G8&amp;"!"&amp;"C7:C30"),C7)))</f>
        <v>386.437984625</v>
      </c>
    </row>
    <row r="4" customFormat="false" ht="13.8" hidden="false" customHeight="false" outlineLevel="0" collapsed="false">
      <c r="C4" s="155"/>
    </row>
    <row r="6" customFormat="false" ht="13.8" hidden="false" customHeight="false" outlineLevel="0" collapsed="false">
      <c r="C6" s="17" t="s">
        <v>120</v>
      </c>
      <c r="D6" s="17"/>
      <c r="E6" s="17"/>
      <c r="G6" s="156" t="s">
        <v>121</v>
      </c>
    </row>
    <row r="7" customFormat="false" ht="13.8" hidden="false" customHeight="false" outlineLevel="0" collapsed="false">
      <c r="C7" s="20" t="s">
        <v>7</v>
      </c>
      <c r="D7" s="41" t="n">
        <f aca="true">SUMPRODUCT(SUMIFS(INDIRECT(""&amp;$G$7:$G$10&amp;"!"&amp;"D7:D33"),INDIRECT(""&amp;$G$7:$G$10&amp;"!"&amp;"C7:C33"),C7))</f>
        <v>581.560863125</v>
      </c>
      <c r="E7" s="19" t="s">
        <v>24</v>
      </c>
      <c r="G7" s="0" t="n">
        <v>1</v>
      </c>
    </row>
    <row r="8" customFormat="false" ht="13.8" hidden="false" customHeight="false" outlineLevel="0" collapsed="false">
      <c r="C8" s="20" t="s">
        <v>122</v>
      </c>
      <c r="D8" s="41" t="n">
        <f aca="true">SUMPRODUCT(SUMIFS(INDIRECT(""&amp;$G$7:$G$10&amp;"!"&amp;"D7:D33"),INDIRECT(""&amp;$G$7:$G$10&amp;"!"&amp;"C7:C33"),C8))</f>
        <v>0</v>
      </c>
      <c r="E8" s="19" t="s">
        <v>25</v>
      </c>
      <c r="G8" s="0" t="n">
        <v>2</v>
      </c>
    </row>
    <row r="9" customFormat="false" ht="13.8" hidden="false" customHeight="false" outlineLevel="0" collapsed="false">
      <c r="C9" s="20" t="s">
        <v>8</v>
      </c>
      <c r="D9" s="41" t="n">
        <f aca="true">SUMPRODUCT(SUMIFS(INDIRECT(""&amp;$G$7:$G$10&amp;"!"&amp;"D7:D33"),INDIRECT(""&amp;$G$7:$G$10&amp;"!"&amp;"C7:C33"),C9))</f>
        <v>60.228755125</v>
      </c>
      <c r="E9" s="19" t="s">
        <v>24</v>
      </c>
      <c r="G9" s="0" t="n">
        <v>3</v>
      </c>
    </row>
    <row r="10" customFormat="false" ht="13.8" hidden="false" customHeight="false" outlineLevel="0" collapsed="false">
      <c r="C10" s="20" t="s">
        <v>123</v>
      </c>
      <c r="D10" s="41" t="n">
        <f aca="true">SUMPRODUCT(SUMIFS(INDIRECT(""&amp;$G$7:$G$10&amp;"!"&amp;"D7:D33"),INDIRECT(""&amp;$G$7:$G$10&amp;"!"&amp;"C7:C33"),C10))</f>
        <v>0</v>
      </c>
      <c r="E10" s="19" t="s">
        <v>24</v>
      </c>
      <c r="G10" s="0" t="n">
        <v>4</v>
      </c>
    </row>
    <row r="11" customFormat="false" ht="13.8" hidden="false" customHeight="false" outlineLevel="0" collapsed="false">
      <c r="C11" s="20" t="s">
        <v>65</v>
      </c>
      <c r="D11" s="41" t="n">
        <f aca="true">SUMPRODUCT(SUMIFS(INDIRECT(""&amp;$G$7:$G$10&amp;"!"&amp;"D7:D33"),INDIRECT(""&amp;$G$7:$G$10&amp;"!"&amp;"C7:C33"),C11))</f>
        <v>136.82625</v>
      </c>
      <c r="E11" s="19" t="s">
        <v>24</v>
      </c>
    </row>
    <row r="12" customFormat="false" ht="13.8" hidden="false" customHeight="false" outlineLevel="0" collapsed="false">
      <c r="C12" s="20" t="s">
        <v>94</v>
      </c>
      <c r="D12" s="41" t="n">
        <f aca="true">SUMPRODUCT(SUMIFS(INDIRECT(""&amp;$G$7:$G$10&amp;"!"&amp;"D7:D33"),INDIRECT(""&amp;$G$7:$G$10&amp;"!"&amp;"C7:C33"),C12))</f>
        <v>57.043701</v>
      </c>
      <c r="E12" s="19" t="s">
        <v>24</v>
      </c>
    </row>
    <row r="13" customFormat="false" ht="13.8" hidden="false" customHeight="false" outlineLevel="0" collapsed="false">
      <c r="C13" s="17" t="s">
        <v>9</v>
      </c>
      <c r="D13" s="19"/>
      <c r="E13" s="19"/>
    </row>
    <row r="14" customFormat="false" ht="13.8" hidden="false" customHeight="false" outlineLevel="0" collapsed="false">
      <c r="C14" s="20" t="s">
        <v>10</v>
      </c>
      <c r="D14" s="41" t="n">
        <f aca="true">SUMPRODUCT(SUMIFS(INDIRECT(""&amp;$G$7:$G$10&amp;"!"&amp;"D7:D33"),INDIRECT(""&amp;$G$7:$G$10&amp;"!"&amp;"C7:C33"),C14))</f>
        <v>203.47863305</v>
      </c>
      <c r="E14" s="19" t="s">
        <v>24</v>
      </c>
      <c r="G14" s="157" t="s">
        <v>124</v>
      </c>
      <c r="H14" s="158"/>
      <c r="I14" s="158"/>
      <c r="J14" s="158"/>
      <c r="K14" s="159"/>
    </row>
    <row r="15" customFormat="false" ht="13.8" hidden="false" customHeight="false" outlineLevel="0" collapsed="false">
      <c r="C15" s="20" t="s">
        <v>64</v>
      </c>
      <c r="D15" s="41" t="n">
        <f aca="true">SUMPRODUCT(SUMIFS(INDIRECT(""&amp;$G$7:$G$10&amp;"!"&amp;"D7:D33"),INDIRECT(""&amp;$G$7:$G$10&amp;"!"&amp;"C7:C33"),C15))</f>
        <v>136.82625</v>
      </c>
      <c r="E15" s="19" t="s">
        <v>24</v>
      </c>
      <c r="G15" s="160" t="s">
        <v>125</v>
      </c>
      <c r="H15" s="161"/>
      <c r="I15" s="161"/>
      <c r="J15" s="161"/>
      <c r="K15" s="162"/>
    </row>
    <row r="16" customFormat="false" ht="13.8" hidden="false" customHeight="false" outlineLevel="0" collapsed="false">
      <c r="C16" s="20" t="s">
        <v>11</v>
      </c>
      <c r="D16" s="41" t="n">
        <f aca="true">SUMPRODUCT(SUMIFS(INDIRECT(""&amp;$G$7:$G$10&amp;"!"&amp;"D7:D33"),INDIRECT(""&amp;$G$7:$G$10&amp;"!"&amp;"C7:C33"),C16))</f>
        <v>420.33816</v>
      </c>
      <c r="E16" s="19" t="s">
        <v>25</v>
      </c>
      <c r="G16" s="163" t="s">
        <v>126</v>
      </c>
      <c r="H16" s="164" t="str">
        <f aca="true" t="array" ref="H16:H19">INDIRECT(""&amp;G7:G10&amp;"!"&amp;"C7:C30")</f>
        <v>EXCAVATION</v>
      </c>
      <c r="I16" s="165" t="s">
        <v>127</v>
      </c>
      <c r="J16" s="166" t="n">
        <f aca="true" t="array" ref="J16:J19">INDIRECT(""&amp;G7:G10&amp;"!"&amp;"D7:D30")</f>
        <v>67.176734625</v>
      </c>
      <c r="K16" s="162"/>
    </row>
    <row r="17" customFormat="false" ht="13.8" hidden="false" customHeight="false" outlineLevel="0" collapsed="false">
      <c r="C17" s="20" t="s">
        <v>128</v>
      </c>
      <c r="D17" s="41" t="n">
        <f aca="true">SUMPRODUCT(SUMIFS(INDIRECT(""&amp;$G$7:$G$10&amp;"!"&amp;"D7:D33"),INDIRECT(""&amp;$G$7:$G$10&amp;"!"&amp;"C7:C33"),C17))</f>
        <v>0</v>
      </c>
      <c r="E17" s="19" t="s">
        <v>25</v>
      </c>
      <c r="G17" s="163" t="s">
        <v>129</v>
      </c>
      <c r="H17" s="166" t="str">
        <v>CC 1 : 4 : 8</v>
      </c>
      <c r="I17" s="165" t="s">
        <v>130</v>
      </c>
      <c r="J17" s="166" t="n">
        <v>45.60875</v>
      </c>
      <c r="K17" s="162"/>
    </row>
    <row r="18" customFormat="false" ht="13.8" hidden="false" customHeight="false" outlineLevel="0" collapsed="false">
      <c r="C18" s="20" t="s">
        <v>131</v>
      </c>
      <c r="D18" s="41" t="n">
        <f aca="true">SUMPRODUCT(SUMIFS(INDIRECT(""&amp;$G$7:$G$10&amp;"!"&amp;"D7:D33"),INDIRECT(""&amp;$G$7:$G$10&amp;"!"&amp;"C7:C33"),C18))</f>
        <v>0</v>
      </c>
      <c r="E18" s="19" t="s">
        <v>25</v>
      </c>
      <c r="G18" s="163" t="s">
        <v>132</v>
      </c>
      <c r="H18" s="166" t="str">
        <v>RCC CONCRETE:</v>
      </c>
      <c r="I18" s="165" t="s">
        <v>133</v>
      </c>
      <c r="J18" s="166" t="n">
        <v>0</v>
      </c>
      <c r="K18" s="162"/>
    </row>
    <row r="19" customFormat="false" ht="13.8" hidden="false" customHeight="false" outlineLevel="0" collapsed="false">
      <c r="C19" s="21" t="s">
        <v>12</v>
      </c>
      <c r="D19" s="41" t="n">
        <f aca="true">SUMPRODUCT(SUMIFS(INDIRECT(""&amp;$G$7:$G$10&amp;"!"&amp;"D7:D33"),INDIRECT(""&amp;$G$7:$G$10&amp;"!"&amp;"C7:C33"),C19))</f>
        <v>33.6708152605</v>
      </c>
      <c r="E19" s="45" t="s">
        <v>26</v>
      </c>
      <c r="G19" s="163" t="s">
        <v>134</v>
      </c>
      <c r="H19" s="166" t="str">
        <v>RCC CONCRETE:</v>
      </c>
      <c r="I19" s="165" t="s">
        <v>135</v>
      </c>
      <c r="J19" s="166" t="n">
        <v>0</v>
      </c>
      <c r="K19" s="162"/>
    </row>
    <row r="20" customFormat="false" ht="13.8" hidden="false" customHeight="false" outlineLevel="0" collapsed="false">
      <c r="C20" s="20" t="s">
        <v>13</v>
      </c>
      <c r="D20" s="41" t="n">
        <f aca="true">SUMPRODUCT(SUMIFS(INDIRECT(""&amp;$G$7:$G$10&amp;"!"&amp;"D7:D33"),INDIRECT(""&amp;$G$7:$G$10&amp;"!"&amp;"C7:C33"),C20))</f>
        <v>11.66382327</v>
      </c>
      <c r="E20" s="19" t="s">
        <v>24</v>
      </c>
      <c r="G20" s="160"/>
      <c r="H20" s="161"/>
      <c r="I20" s="161"/>
      <c r="J20" s="161"/>
      <c r="K20" s="162"/>
    </row>
    <row r="21" customFormat="false" ht="13.8" hidden="false" customHeight="false" outlineLevel="0" collapsed="false">
      <c r="C21" s="20" t="s">
        <v>136</v>
      </c>
      <c r="D21" s="41" t="n">
        <f aca="true">SUMPRODUCT(SUMIFS(INDIRECT(""&amp;$G$7:$G$10&amp;"!"&amp;"D7:D33"),INDIRECT(""&amp;$G$7:$G$10&amp;"!"&amp;"C7:C33"),C21))</f>
        <v>0</v>
      </c>
      <c r="E21" s="19" t="s">
        <v>24</v>
      </c>
      <c r="G21" s="167" t="s">
        <v>137</v>
      </c>
      <c r="H21" s="168"/>
      <c r="I21" s="168"/>
      <c r="J21" s="168"/>
      <c r="K21" s="169"/>
    </row>
    <row r="22" customFormat="false" ht="13.8" hidden="false" customHeight="false" outlineLevel="0" collapsed="false">
      <c r="C22" s="20" t="s">
        <v>138</v>
      </c>
      <c r="D22" s="41" t="n">
        <f aca="true">SUMPRODUCT(SUMIFS(INDIRECT(""&amp;$G$7:$G$10&amp;"!"&amp;"D7:D33"),INDIRECT(""&amp;$G$7:$G$10&amp;"!"&amp;"C7:C33"),C22))</f>
        <v>0</v>
      </c>
      <c r="E22" s="19" t="s">
        <v>24</v>
      </c>
    </row>
    <row r="23" customFormat="false" ht="13.8" hidden="false" customHeight="false" outlineLevel="0" collapsed="false">
      <c r="C23" s="20" t="s">
        <v>139</v>
      </c>
      <c r="D23" s="41" t="n">
        <f aca="true">SUMPRODUCT(SUMIFS(INDIRECT(""&amp;$G$7:$G$10&amp;"!"&amp;"D7:D33"),INDIRECT(""&amp;$G$7:$G$10&amp;"!"&amp;"C7:C33"),C23))</f>
        <v>0</v>
      </c>
      <c r="E23" s="19" t="s">
        <v>25</v>
      </c>
    </row>
    <row r="24" customFormat="false" ht="13.8" hidden="false" customHeight="false" outlineLevel="0" collapsed="false">
      <c r="C24" s="20" t="s">
        <v>140</v>
      </c>
      <c r="D24" s="41" t="n">
        <f aca="true">SUMPRODUCT(SUMIFS(INDIRECT(""&amp;$G$7:$G$10&amp;"!"&amp;"D7:D33"),INDIRECT(""&amp;$G$7:$G$10&amp;"!"&amp;"C7:C33"),C24))</f>
        <v>0</v>
      </c>
      <c r="E24" s="19" t="s">
        <v>141</v>
      </c>
    </row>
    <row r="25" customFormat="false" ht="13.8" hidden="false" customHeight="false" outlineLevel="0" collapsed="false">
      <c r="C25" s="20" t="s">
        <v>142</v>
      </c>
      <c r="D25" s="41" t="n">
        <f aca="true">SUMPRODUCT(SUMIFS(INDIRECT(""&amp;$G$7:$G$10&amp;"!"&amp;"D7:D33"),INDIRECT(""&amp;$G$7:$G$10&amp;"!"&amp;"C7:C33"),C25))</f>
        <v>0</v>
      </c>
      <c r="E25" s="19" t="s">
        <v>24</v>
      </c>
    </row>
    <row r="26" customFormat="false" ht="13.8" hidden="false" customHeight="false" outlineLevel="0" collapsed="false">
      <c r="C26" s="20" t="s">
        <v>143</v>
      </c>
      <c r="D26" s="41" t="n">
        <f aca="true">SUMPRODUCT(SUMIFS(INDIRECT(""&amp;$G$7:$G$10&amp;"!"&amp;"D7:D33"),INDIRECT(""&amp;$G$7:$G$10&amp;"!"&amp;"C7:C33"),C26))</f>
        <v>0</v>
      </c>
      <c r="E26" s="19" t="s">
        <v>141</v>
      </c>
      <c r="G26" s="170" t="e">
        <f aca="true">SUM(INDIRECT("'1':'2'!I1"))</f>
        <v>#REF!</v>
      </c>
    </row>
    <row r="27" customFormat="false" ht="13.8" hidden="false" customHeight="false" outlineLevel="0" collapsed="false">
      <c r="C27" s="20" t="s">
        <v>14</v>
      </c>
      <c r="D27" s="41" t="n">
        <f aca="true">SUMPRODUCT(SUMIFS(INDIRECT(""&amp;$G$7:$G$10&amp;"!"&amp;"D7:D33"),INDIRECT(""&amp;$G$7:$G$10&amp;"!"&amp;"C7:C33"),C27))</f>
        <v>564.96</v>
      </c>
      <c r="E27" s="19" t="s">
        <v>144</v>
      </c>
      <c r="G27" s="171" t="n">
        <f aca="true">SUM(INDIRECT("1:2!I1"))</f>
        <v>42</v>
      </c>
    </row>
    <row r="28" customFormat="false" ht="13.8" hidden="false" customHeight="false" outlineLevel="0" collapsed="false">
      <c r="C28" s="20" t="s">
        <v>103</v>
      </c>
      <c r="D28" s="41" t="n">
        <f aca="true">SUMPRODUCT(SUMIFS(INDIRECT(""&amp;$G$7:$G$10&amp;"!"&amp;"D7:D33"),INDIRECT(""&amp;$G$7:$G$10&amp;"!"&amp;"C7:C33"),C28))</f>
        <v>2.856898</v>
      </c>
      <c r="E28" s="19" t="s">
        <v>24</v>
      </c>
    </row>
    <row r="29" customFormat="false" ht="13.8" hidden="false" customHeight="false" outlineLevel="0" collapsed="false">
      <c r="C29" s="20" t="s">
        <v>145</v>
      </c>
      <c r="D29" s="41" t="n">
        <f aca="true">SUMPRODUCT(SUMIFS(INDIRECT(""&amp;$G$7:$G$10&amp;"!"&amp;"D7:D33"),INDIRECT(""&amp;$G$7:$G$10&amp;"!"&amp;"C7:C33"),C29))</f>
        <v>0</v>
      </c>
      <c r="E29" s="19" t="s">
        <v>141</v>
      </c>
    </row>
    <row r="30" customFormat="false" ht="13.8" hidden="false" customHeight="false" outlineLevel="0" collapsed="false">
      <c r="C30" s="20" t="s">
        <v>66</v>
      </c>
      <c r="D30" s="41" t="n">
        <f aca="true">SUMPRODUCT(SUMIFS(INDIRECT(""&amp;$G$7:$G$10&amp;"!"&amp;"D7:D33"),INDIRECT(""&amp;$G$7:$G$10&amp;"!"&amp;"C7:C33"),C30))</f>
        <v>50.16</v>
      </c>
      <c r="E30" s="19" t="s">
        <v>141</v>
      </c>
    </row>
    <row r="31" customFormat="false" ht="13.8" hidden="false" customHeight="false" outlineLevel="0" collapsed="false">
      <c r="C31" s="21" t="s">
        <v>95</v>
      </c>
      <c r="D31" s="41" t="n">
        <f aca="true">SUMPRODUCT(SUMIFS(INDIRECT(""&amp;$G$7:$G$10&amp;"!"&amp;"D7:D33"),INDIRECT(""&amp;$G$7:$G$10&amp;"!"&amp;"C7:C33"),C31))</f>
        <v>48.378</v>
      </c>
      <c r="E31" s="19" t="s">
        <v>141</v>
      </c>
    </row>
    <row r="32" customFormat="false" ht="13.8" hidden="false" customHeight="false" outlineLevel="0" collapsed="false">
      <c r="C32" s="20" t="s">
        <v>146</v>
      </c>
      <c r="D32" s="41" t="n">
        <f aca="true">SUMPRODUCT(SUMIFS(INDIRECT(""&amp;$G$7:$G$10&amp;"!"&amp;"D7:D33"),INDIRECT(""&amp;$G$7:$G$10&amp;"!"&amp;"C7:C33"),C32))</f>
        <v>0</v>
      </c>
      <c r="E32" s="19" t="s">
        <v>144</v>
      </c>
    </row>
    <row r="33" customFormat="false" ht="13.8" hidden="false" customHeight="false" outlineLevel="0" collapsed="false">
      <c r="C33" s="20" t="s">
        <v>76</v>
      </c>
      <c r="D33" s="41" t="n">
        <f aca="true">SUMPRODUCT(SUMIFS(INDIRECT(""&amp;$G$7:$G$10&amp;"!"&amp;"D7:D33"),INDIRECT(""&amp;$G$7:$G$10&amp;"!"&amp;"C7:C33"),C33))</f>
        <v>94.004064</v>
      </c>
      <c r="E33" s="19" t="s">
        <v>144</v>
      </c>
    </row>
    <row r="34" customFormat="false" ht="13.8" hidden="false" customHeight="false" outlineLevel="0" collapsed="false">
      <c r="C34" s="21" t="s">
        <v>96</v>
      </c>
      <c r="D34" s="41" t="n">
        <f aca="true">SUMPRODUCT(SUMIFS(INDIRECT(""&amp;$G$7:$G$10&amp;"!"&amp;"D7:D33"),INDIRECT(""&amp;$G$7:$G$10&amp;"!"&amp;"C7:C33"),C34))</f>
        <v>0.88</v>
      </c>
      <c r="E34" s="19" t="s">
        <v>141</v>
      </c>
    </row>
    <row r="35" customFormat="false" ht="13.8" hidden="false" customHeight="false" outlineLevel="0" collapsed="false">
      <c r="C35" s="21" t="s">
        <v>97</v>
      </c>
      <c r="D35" s="41" t="n">
        <f aca="true">SUMPRODUCT(SUMIFS(INDIRECT(""&amp;$G$7:$G$10&amp;"!"&amp;"D7:D33"),INDIRECT(""&amp;$G$7:$G$10&amp;"!"&amp;"C7:C33"),C35))</f>
        <v>0.88</v>
      </c>
      <c r="E35" s="19" t="s">
        <v>141</v>
      </c>
    </row>
    <row r="36" customFormat="false" ht="13.8" hidden="false" customHeight="false" outlineLevel="0" collapsed="false">
      <c r="C36" s="21" t="s">
        <v>98</v>
      </c>
      <c r="D36" s="41" t="n">
        <f aca="true">SUMPRODUCT(SUMIFS(INDIRECT(""&amp;$G$7:$G$10&amp;"!"&amp;"D7:D33"),INDIRECT(""&amp;$G$7:$G$10&amp;"!"&amp;"C7:C33"),C36))</f>
        <v>2.64</v>
      </c>
      <c r="E36" s="19" t="s">
        <v>141</v>
      </c>
    </row>
    <row r="37" customFormat="false" ht="13.8" hidden="false" customHeight="false" outlineLevel="0" collapsed="false">
      <c r="C37" s="21" t="s">
        <v>99</v>
      </c>
      <c r="D37" s="41" t="n">
        <f aca="true">SUMPRODUCT(SUMIFS(INDIRECT(""&amp;$G$7:$G$10&amp;"!"&amp;"D7:D33"),INDIRECT(""&amp;$G$7:$G$10&amp;"!"&amp;"C7:C33"),C37))</f>
        <v>0.88</v>
      </c>
      <c r="E37" s="19" t="s">
        <v>141</v>
      </c>
    </row>
    <row r="38" customFormat="false" ht="13.8" hidden="false" customHeight="false" outlineLevel="0" collapsed="false">
      <c r="C38" s="21" t="s">
        <v>100</v>
      </c>
      <c r="D38" s="41" t="n">
        <f aca="true">SUMPRODUCT(SUMIFS(INDIRECT(""&amp;$G$7:$G$10&amp;"!"&amp;"D7:D33"),INDIRECT(""&amp;$G$7:$G$10&amp;"!"&amp;"C7:C33"),C38))</f>
        <v>1.76</v>
      </c>
      <c r="E38" s="19" t="s">
        <v>141</v>
      </c>
    </row>
    <row r="39" customFormat="false" ht="13.8" hidden="false" customHeight="false" outlineLevel="0" collapsed="false">
      <c r="C39" s="21" t="s">
        <v>101</v>
      </c>
      <c r="D39" s="41" t="n">
        <f aca="true">SUMPRODUCT(SUMIFS(INDIRECT(""&amp;$G$7:$G$10&amp;"!"&amp;"D7:D33"),INDIRECT(""&amp;$G$7:$G$10&amp;"!"&amp;"C7:C33"),C39))</f>
        <v>0.88</v>
      </c>
      <c r="E39" s="19" t="s">
        <v>141</v>
      </c>
    </row>
    <row r="40" customFormat="false" ht="13.8" hidden="false" customHeight="false" outlineLevel="0" collapsed="false">
      <c r="C40" s="20" t="s">
        <v>102</v>
      </c>
      <c r="D40" s="41" t="n">
        <f aca="true">SUMPRODUCT(SUMIFS(INDIRECT(""&amp;$G$7:$G$10&amp;"!"&amp;"D7:D33"),INDIRECT(""&amp;$G$7:$G$10&amp;"!"&amp;"C7:C33"),C40))</f>
        <v>116.5725</v>
      </c>
      <c r="E40" s="19" t="s">
        <v>144</v>
      </c>
    </row>
  </sheetData>
  <mergeCells count="1">
    <mergeCell ref="C6:E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LibreOffice/7.3.1.3$Linux_X86_64 LibreOffice_project/a69ca51ded25f3eefd52d7bf9a5fad8c90b87951</Application>
  <AppVersion>15.0000</AppVersion>
  <Company>zel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2012-11-21T11:21:32Z</dcterms:created>
  <dc:creator>Mariam.Khatoon</dc:creator>
  <dc:description/>
  <dc:language>en-US</dc:language>
  <cp:lastModifiedBy/>
  <cp:lastPrinted>2021-12-30T05:12:58Z</cp:lastPrinted>
  <dcterms:modified xsi:type="dcterms:W3CDTF">2022-03-20T21:10:20Z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